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worksheets/sheet1.xml" ContentType="application/vnd.openxmlformats-officedocument.spreadsheetml.worksheet+xml"/>
  <Override PartName="/xl/threadedComments/threadedComment5.xml" ContentType="application/vnd.ms-excel.threadedcomments+xml"/>
  <Override PartName="/xl/comments5.xml" ContentType="application/vnd.openxmlformats-officedocument.spreadsheetml.comments+xml"/>
  <Override PartName="/xl/tables/table17.xml" ContentType="application/vnd.openxmlformats-officedocument.spreadsheetml.table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tables/table9.xml" ContentType="application/vnd.openxmlformats-officedocument.spreadsheetml.table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11.xml" ContentType="application/vnd.openxmlformats-officedocument.spreadsheetml.table+xml"/>
  <Override PartName="/xl/theme/theme1.xml" ContentType="application/vnd.openxmlformats-officedocument.theme+xml"/>
  <Override PartName="/xl/tables/table8.xml" ContentType="application/vnd.openxmlformats-officedocument.spreadsheetml.table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tables/table12.xml" ContentType="application/vnd.openxmlformats-officedocument.spreadsheetml.table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tables/table4.xml" ContentType="application/vnd.openxmlformats-officedocument.spreadsheetml.table+xml"/>
  <Override PartName="/xl/tables/table13.xml" ContentType="application/vnd.openxmlformats-officedocument.spreadsheetml.table+xml"/>
  <Override PartName="/xl/tables/table10.xml" ContentType="application/vnd.openxmlformats-officedocument.spreadsheetml.table+xml"/>
  <Override PartName="/xl/worksheets/sheet5.xml" ContentType="application/vnd.openxmlformats-officedocument.spreadsheetml.worksheet+xml"/>
  <Override PartName="/xl/tables/table15.xml" ContentType="application/vnd.openxmlformats-officedocument.spreadsheetml.table+xml"/>
  <Override PartName="/xl/tables/table14.xml" ContentType="application/vnd.openxmlformats-officedocument.spreadsheetml.table+xml"/>
  <Override PartName="/xl/worksheets/sheet8.xml" ContentType="application/vnd.openxmlformats-officedocument.spreadsheetml.worksheet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hreadedComments/threadedComment4.xml" ContentType="application/vnd.ms-excel.threadedcomments+xml"/>
  <Override PartName="/xl/worksheets/sheet6.xml" ContentType="application/vnd.openxmlformats-officedocument.spreadsheetml.worksheet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tables/table7.xml" ContentType="application/vnd.openxmlformats-officedocument.spreadsheetml.table+xml"/>
  <Override PartName="/xl/comments3.xml" ContentType="application/vnd.openxmlformats-officedocument.spreadsheetml.comment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1"/>
  <bookViews>
    <workbookView xWindow="360" yWindow="15" windowWidth="20955" windowHeight="9720" activeTab="2"/>
  </bookViews>
  <sheets>
    <sheet name="Инструкция по заполнению форм" sheetId="1" state="visible" r:id="rId3"/>
    <sheet name="Лист2" sheetId="2" state="hidden" r:id="rId4"/>
    <sheet name="План инф-ции (титул)" sheetId="3" state="visible" r:id="rId5"/>
    <sheet name="Р 1. &quot;Общие сведения&quot;" sheetId="4" state="visible" r:id="rId6"/>
    <sheet name="Р 2. &quot;Госуслуги(функции)" sheetId="5" state="hidden" r:id="rId7"/>
    <sheet name="Р 3. Документы" sheetId="6" state="visible" r:id="rId8"/>
    <sheet name="Р 4. Показатели_индикаторы" sheetId="7" state="hidden" r:id="rId9"/>
    <sheet name="Р 5. Финансирование" sheetId="8" state="visible" r:id="rId10"/>
    <sheet name="Р 6. Закупки" sheetId="9" state="visible" r:id="rId11"/>
    <sheet name="Р 7. Оценка УО" sheetId="10" state="hidden" r:id="rId12"/>
    <sheet name="Справочники" sheetId="11" state="hidden" r:id="rId13"/>
  </sheets>
  <externalReferences>
    <externalReference r:id="rId1"/>
  </externalReferences>
  <definedNames>
    <definedName name="sub_11400" localSheetId="0">'Инструкция по заполнению форм'!$A$99</definedName>
    <definedName name="sub_11600" localSheetId="0">'Инструкция по заполнению форм'!$A$123</definedName>
    <definedName name="_xlnm._FilterDatabase" localSheetId="3" hidden="1">'Р 1. "Общие сведения"'!$A$6:$P$6</definedName>
  </definedNames>
  <calcPr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tc={00FF00FC-0049-4F10-804D-006C004400C8}</author>
    <author>tc={00C50060-0070-474F-AE4A-00760068002E}</author>
    <author>tc={0001001B-00DF-42C6-94E0-002F00B20069}</author>
    <author>tc={002A0018-00CE-44C3-A17F-00B600E200F2}</author>
    <author>tc={00EB009E-00FC-4BDD-8823-003900150097}</author>
    <author>tc={00330089-0049-419D-A3C4-0038004B00D7}</author>
    <author>tc={00B500C7-003C-4703-BCE6-000800E70066}</author>
    <author>tc={006700DB-007E-40FF-A00B-0053003100AC}</author>
    <author>tc={0004005E-005C-44F9-843D-009500D50046}</author>
    <author>tc={008A0079-004A-4549-8189-00A100610084}</author>
    <author>tc={009100B4-0069-423C-AA49-0031004F00AA}</author>
    <author>tc={00BC006D-005B-4DBF-9780-001A00CA00E9}</author>
    <author>tc={0003003C-0073-4098-A843-000E00F5003F}</author>
    <author>tc={00F1007A-005A-425B-8243-0078001200BD}</author>
    <author>tc={003D0054-0024-4403-B05A-002C00C2007A}</author>
    <author>tc={00FF00EE-0099-4C24-8929-0074006D0080}</author>
    <author>tc={0010007F-0028-45C2-81DA-006C00DF000B}</author>
    <author>tc={009000D2-0063-4CD9-A499-008700C6000A}</author>
    <author>tc={006100C6-007F-4AD6-9718-0008003700A2}</author>
    <author>tc={00AA00CE-00D5-431C-B10B-0089002A00AB}</author>
    <author>tc={00550071-0063-4F80-A2AA-007700F90031}</author>
    <author>tc={00A1000B-00C9-401D-83B6-00FA00E800AE}</author>
    <author>tc={009000CA-004C-4CCD-AB31-009400E500F4}</author>
    <author>tc={00C900F1-0065-470E-8005-0000008500B6}</author>
    <author>tc={00F70058-000C-4CD9-A05B-00F700AD0039}</author>
    <author>tc={001900AA-00FD-4E3E-9CB7-006800D70002}</author>
    <author>tc={00310066-008B-424B-A0E5-0039003900D5}</author>
    <author>tc={008500A0-0031-4E01-BEBD-00A300E80029}</author>
    <author>tc={0021007D-000C-40D6-9497-00B3006200AC}</author>
    <author>tc={005200BA-005D-4135-83CE-00CB000500BD}</author>
    <author>tc={002C0025-000C-48FC-B744-001F009500F0}</author>
    <author>tc={00060022-0020-41FD-B9DF-003800BA008D}</author>
    <author>tc={00500009-0054-4741-9F63-0074009100E8}</author>
    <author>tc={00F90028-0049-427E-9D04-0074007F0011}</author>
    <author>tc={006B008E-00BF-4C5C-822A-00ED000E00C1}</author>
    <author>tc={007300C1-001C-410A-820E-008800630069}</author>
    <author>tc={00A700A1-00AC-4CD9-9B4A-0002006E00F0}</author>
    <author>tc={00770089-00CF-4FD2-B159-005D00B00056}</author>
    <author>tc={001300E9-008C-4174-A53B-006D000D00D0}</author>
    <author>tc={00F400C3-000D-4D31-ABF7-005B004B0045}</author>
    <author>tc={0054002F-001D-4EEF-B513-0025009600D2}</author>
    <author>tc={00B100D8-00B1-4F88-A11C-001C00FF0046}</author>
    <author>tc={004F007D-005C-414B-8824-006500F800A6}</author>
    <author>tc={00640042-0056-49B9-AF22-008400D500AB}</author>
    <author>tc={00B30071-00D9-4C79-903E-007900DA00A9}</author>
    <author>tc={003D0077-00E2-48E4-9911-008A00280001}</author>
    <author>tc={00450093-0015-48E9-9688-009E003800CA}</author>
    <author>tc={00D50013-0069-48EB-8B8D-00A90078001E}</author>
    <author>tc={004A00AE-00CA-4A6E-A5C6-0049003100BC}</author>
    <author>tc={004100AE-004B-4FED-B7E4-006F00950011}</author>
    <author>tc={001D0073-00A1-4957-8013-00E0003600C4}</author>
    <author>tc={008500F1-00A5-408D-BE8C-00B4008D002B}</author>
    <author>tc={00E3002D-00D6-45E6-9C04-00DA007400D4}</author>
    <author>tc={00E600C5-00D4-4CAC-A03A-009300AC00FE}</author>
    <author>tc={0028001B-0085-4BC9-9404-00A5005F003D}</author>
    <author>tc={00000065-00E6-479C-B86D-00F20059001D}</author>
    <author>tc={001A00E3-008F-4D3A-AC62-00210090000F}</author>
    <author>tc={00530003-0066-4B27-B8B9-00BD00D7004E}</author>
    <author>tc={001600B1-00CE-4CC0-B73B-009E0008005C}</author>
    <author>tc={00290080-00C2-4D87-A237-007C00BC002F}</author>
    <author>tc={00180017-00DF-4371-908A-00E300EE00F4}</author>
    <author>tc={00B100B1-00E7-4B68-AC0F-00B7007D008B}</author>
    <author>tc={0086009E-0040-45CC-B826-00AA00AD0009}</author>
    <author>tc={006E00C1-0072-42ED-A835-00C700A60035}</author>
    <author>tc={00040010-00AD-4F93-8623-00EB00F4000B}</author>
    <author>tc={00E90052-0075-4569-8DE1-006300810059}</author>
    <author>tc={00270017-0041-4177-A8DF-00470005003C}</author>
    <author>tc={00E0005E-006F-43A5-9081-000E00A700F3}</author>
    <author>tc={00070017-00E0-4CA9-8ED6-0000000B00DD}</author>
    <author>tc={00DE007D-005A-455A-A1D2-003600D900EA}</author>
    <author>tc={0016007F-0061-4BB9-82F5-0005007600CE}</author>
    <author>tc={00A6009F-009F-41B7-8FC6-0017002800F2}</author>
    <author>tc={00490074-0062-49B9-B04B-00E9009B00F1}</author>
    <author>tc={00FD002B-001C-431B-8D91-004B0060001C}</author>
    <author>tc={00860001-00E1-46AB-982A-00E4006A00F6}</author>
    <author>tc={00E900CB-00EC-4329-9EAA-00AB008F00B9}</author>
    <author>tc={00790075-0023-43C7-BAD8-00DF00AF00AC}</author>
    <author>tc={00F1006F-001A-49CE-B428-006F000D00CF}</author>
    <author>tc={00F00046-008B-41A3-861C-004300F300AD}</author>
    <author>tc={00D0002C-003D-4205-B9D6-0092004600D0}</author>
    <author>tc={00280050-00F0-43ED-A819-005A00C70000}</author>
    <author>tc={0016007E-0037-4055-AC13-000B0027002D}</author>
    <author>tc={007D0095-0047-4DAC-9C73-00EC0079007A}</author>
    <author>tc={00840008-0079-4C53-A1F1-009400B300C0}</author>
    <author>tc={0015005E-00CC-4320-9DC1-00720033000B}</author>
    <author>tc={005F00B3-0061-4BDE-A025-00460037001B}</author>
    <author>tc={00540035-00FD-4FCB-AED8-00A5006400E5}</author>
    <author>tc={00AD0068-006D-4AC2-A6C4-00500002005A}</author>
    <author>tc={002C00A8-008A-4419-9BA3-007900400010}</author>
    <author>tc={00E100E2-0096-466E-AACD-007E00B80078}</author>
    <author>tc={00B10050-00D3-4964-89A1-00C7009A00AE}</author>
    <author>tc={009F006F-0095-410A-94F3-0037001C0076}</author>
    <author>tc={00F10054-0057-4F61-AF95-000800540048}</author>
    <author>tc={00B30024-0036-40E0-A8E1-004800BD00D0}</author>
    <author>tc={0033009C-0075-48F0-B333-005700B9006E}</author>
    <author>tc={0083008B-00F7-4E70-AA6C-006A000900B6}</author>
    <author>tc={00FB0053-00C8-4832-AA6E-000A005600F1}</author>
    <author>tc={00B4006C-0095-497C-B5A6-009600AC009A}</author>
    <author>tc={000E00E1-002F-4E89-AB7F-00BD00FA00E2}</author>
    <author>tc={002A00D1-000C-4905-8EE9-00050093002C}</author>
    <author>tc={007100EF-00C5-4C95-9CD8-004800B00092}</author>
    <author>tc={000B0002-0099-4B4C-B2C7-003100EC005E}</author>
    <author>tc={00690065-00E9-4237-8530-00C300C60092}</author>
    <author>tc={00BC0088-00BA-45D2-A615-00D200230061}</author>
    <author>tc={007B006E-0036-4E90-9B7A-008700C900B3}</author>
    <author>tc={00E2002D-002B-4558-85E8-00E100E500A5}</author>
    <author>tc={006D0072-008B-4002-96EB-002F00860006}</author>
    <author>tc={006000FA-00EA-4DDE-9795-0097001F00DB}</author>
    <author>tc={00430019-0003-442E-BEF9-0092000900DC}</author>
    <author>tc={005E0037-0034-4AA6-98B2-006D00FF00F5}</author>
    <author>tc={0041004E-00FD-47F3-BB5B-00CA00A000C7}</author>
    <author>tc={003F006D-0085-4E32-8F14-001D00F10024}</author>
    <author>tc={00EE0038-0015-4774-A401-003000D80096}</author>
    <author>tc={00A90066-009A-4241-98CF-009F00A200D9}</author>
    <author>tc={000F0041-0027-4E11-9126-005C007E005C}</author>
    <author>tc={0081002A-0071-47D4-BC38-002C00FF00C4}</author>
    <author>tc={00A70013-0052-466C-AB3A-0028009E0068}</author>
    <author>tc={00EB0003-0047-472E-B7E4-003D003600D6}</author>
    <author>tc={00FC0095-00F1-4A65-BAF4-00AD0086004D}</author>
    <author>tc={004D0079-0098-4FCE-92A8-008C00B30041}</author>
    <author>tc={009400F1-00A3-431D-B949-004300C300DB}</author>
    <author>tc={004B0055-0021-4876-AB9C-001000230076}</author>
    <author>tc={00320090-0044-48F5-9F6D-008400220023}</author>
    <author>tc={00CB00A1-00E0-4F28-8A10-000400740025}</author>
    <author>tc={00DD001C-00F0-438F-B6D7-004900AF0076}</author>
    <author>tc={00F200A6-0012-4922-AD9C-00E000D10040}</author>
    <author>tc={00D9007C-0006-49CB-A93B-00AA00B90065}</author>
    <author>tc={002500EC-0033-42E8-9E15-005D00A900F7}</author>
    <author>tc={00AB00DA-0022-41CB-908D-000200CB00C1}</author>
    <author>tc={0008003C-0001-403A-BB8E-007500A900BC}</author>
    <author>tc={0018009F-0021-40EF-8703-00E800B2009B}</author>
    <author>tc={008000A0-0078-4C18-8E5E-005F00BC0040}</author>
    <author>tc={00260074-001F-4BD8-B714-0035007D0044}</author>
    <author>tc={00B40061-00D5-48C4-971A-009600110073}</author>
    <author>tc={00180042-007B-4667-AB70-00040077004D}</author>
    <author>tc={00070006-0097-4FBF-9E96-00D200140087}</author>
    <author>tc={001E005A-0078-41CA-85E8-000D007200EC}</author>
    <author>tc={00750032-00D1-43BE-9F11-00AC002E0088}</author>
    <author>tc={000100AC-00FE-463D-8D28-00C6006F0004}</author>
    <author>tc={00DF0066-0077-46E6-9664-007E00190054}</author>
    <author>tc={00C1005B-001F-4F86-812E-002D00470014}</author>
    <author>tc={006F0072-00D1-4E53-919E-00A0003500AF}</author>
    <author>tc={00FA0027-0091-4079-A6D5-00F800020047}</author>
    <author>tc={00330008-0002-4E94-816E-002B00330030}</author>
    <author>tc={00310039-00F0-4937-9A12-0081002E0070}</author>
    <author>tc={00CF00F0-00C8-4568-87E8-001800C00045}</author>
    <author>tc={002B00F9-001B-4921-B71C-00600098009F}</author>
    <author>tc={00EE0012-002E-4ED9-AA67-0070004D0025}</author>
    <author>tc={00290033-001F-47D1-AF60-00A000CA00A1}</author>
    <author>tc={0065001B-0045-4210-BA69-003C007D0035}</author>
    <author>tc={00BD006B-0086-483F-80A6-00C800990093}</author>
    <author>tc={00E90031-00B6-47A5-B3DE-00A600460031}</author>
    <author>tc={001F002F-00C0-4275-B6D1-00C1000B00BA}</author>
    <author>tc={005A003D-0030-4353-BECD-00D600D20007}</author>
    <author>tc={00D800C5-00B9-49DA-8A1E-00F6006D00AB}</author>
    <author>tc={009C0048-00B0-4719-A691-0005000F0068}</author>
    <author>tc={00ED00D8-008E-4A11-87FD-003E00CF00B7}</author>
    <author>tc={00D5009C-0071-4C39-AEBA-00AC00290044}</author>
    <author>tc={006A00C1-00F3-4334-A321-0085008D00CD}</author>
    <author>tc={00A3004F-009C-4DFB-9E26-00B2007D006F}</author>
    <author>tc={00800054-0080-4FB8-AA90-00AD000300A5}</author>
    <author>tc={00FF0080-00F1-43CB-A7DA-008800E90073}</author>
    <author>tc={00470051-0017-48A9-8B6D-00C6002F0068}</author>
    <author>tc={007A00E4-0068-4CFF-8938-00ED002900E8}</author>
    <author>tc={00FF00ED-007E-416F-AF33-00D7000E000A}</author>
    <author>tc={00000033-0096-4510-8BD3-0030007A001C}</author>
    <author>tc={00EC0012-0012-41EC-A495-00F800EC001D}</author>
    <author>tc={00F500F8-00F7-4980-BC7D-000700490041}</author>
    <author>tc={009200E9-0070-4140-AA8C-008400580071}</author>
  </authors>
  <commentList>
    <comment ref="K101" authorId="0" xr:uid="{00FF00FC-0049-4F10-804D-006C004400C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2" authorId="1" xr:uid="{00C50060-0070-474F-AE4A-00760068002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3" authorId="2" xr:uid="{0001001B-00DF-42C6-94E0-002F00B2006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4" authorId="3" xr:uid="{002A0018-00CE-44C3-A17F-00B600E200F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5" authorId="4" xr:uid="{00EB009E-00FC-4BDD-8823-00390015009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6" authorId="5" xr:uid="{00330089-0049-419D-A3C4-0038004B00D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7" authorId="6" xr:uid="{00B500C7-003C-4703-BCE6-000800E7006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8" authorId="7" xr:uid="{006700DB-007E-40FF-A00B-0053003100A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9" authorId="8" xr:uid="{0004005E-005C-44F9-843D-009500D5004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0" authorId="9" xr:uid="{008A0079-004A-4549-8189-00A10061008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" authorId="10" xr:uid="{009100B4-0069-423C-AA49-0031004F00A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1" authorId="11" xr:uid="{00BC006D-005B-4DBF-9780-001A00CA00E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2" authorId="12" xr:uid="{0003003C-0073-4098-A843-000E00F5003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3" authorId="13" xr:uid="{00F1007A-005A-425B-8243-0078001200B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4" authorId="14" xr:uid="{003D0054-0024-4403-B05A-002C00C2007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5" authorId="15" xr:uid="{00FF00EE-0099-4C24-8929-0074006D008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6" authorId="16" xr:uid="{0010007F-0028-45C2-81DA-006C00DF000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7" authorId="17" xr:uid="{009000D2-0063-4CD9-A499-008700C6000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8" authorId="18" xr:uid="{006100C6-007F-4AD6-9718-0008003700A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19" authorId="19" xr:uid="{00AA00CE-00D5-431C-B10B-0089002A00A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0" authorId="20" xr:uid="{00550071-0063-4F80-A2AA-007700F9003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" authorId="21" xr:uid="{00A1000B-00C9-401D-83B6-00FA00E8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1" authorId="22" xr:uid="{009000CA-004C-4CCD-AB31-009400E500F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2" authorId="23" xr:uid="{00C900F1-0065-470E-8005-0000008500B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3" authorId="24" xr:uid="{00F70058-000C-4CD9-A05B-00F700AD003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4" authorId="25" xr:uid="{001900AA-00FD-4E3E-9CB7-006800D7000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5" authorId="26" xr:uid="{00310066-008B-424B-A0E5-0039003900D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6" authorId="27" xr:uid="{008500A0-0031-4E01-BEBD-00A300E8002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7" authorId="28" xr:uid="{0021007D-000C-40D6-9497-00B3006200A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8" authorId="29" xr:uid="{005200BA-005D-4135-83CE-00CB000500B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29" authorId="30" xr:uid="{002C0025-000C-48FC-B744-001F009500F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0" authorId="31" xr:uid="{00060022-0020-41FD-B9DF-003800BA008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" authorId="32" xr:uid="{00500009-0054-4741-9F63-0074009100E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1" authorId="33" xr:uid="{00F90028-0049-427E-9D04-0074007F001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2" authorId="34" xr:uid="{006B008E-00BF-4C5C-822A-00ED000E00C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3" authorId="35" xr:uid="{007300C1-001C-410A-820E-00880063006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4" authorId="36" xr:uid="{00A700A1-00AC-4CD9-9B4A-0002006E00F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5" authorId="37" xr:uid="{00770089-00CF-4FD2-B159-005D00B0005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6" authorId="38" xr:uid="{001300E9-008C-4174-A53B-006D000D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7" authorId="39" xr:uid="{00F400C3-000D-4D31-ABF7-005B004B004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8" authorId="40" xr:uid="{0054002F-001D-4EEF-B513-00250096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39" authorId="41" xr:uid="{00B100D8-00B1-4F88-A11C-001C00FF004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0" authorId="42" xr:uid="{004F007D-005C-414B-8824-006500F800A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" authorId="43" xr:uid="{00640042-0056-49B9-AF22-008400D500A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1" authorId="44" xr:uid="{00B30071-00D9-4C79-903E-007900DA00A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2" authorId="45" xr:uid="{003D0077-00E2-48E4-9911-008A0028000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3" authorId="46" xr:uid="{00450093-0015-48E9-9688-009E003800C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4" authorId="47" xr:uid="{00D50013-0069-48EB-8B8D-00A90078001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5" authorId="48" xr:uid="{004A00AE-00CA-4A6E-A5C6-0049003100B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6" authorId="49" xr:uid="{004100AE-004B-4FED-B7E4-006F0095001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7" authorId="50" xr:uid="{001D0073-00A1-4957-8013-00E0003600C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8" authorId="51" xr:uid="{008500F1-00A5-408D-BE8C-00B4008D002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49" authorId="52" xr:uid="{00E3002D-00D6-45E6-9C04-00DA007400D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0" authorId="53" xr:uid="{00E600C5-00D4-4CAC-A03A-009300AC00F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" authorId="54" xr:uid="{0028001B-0085-4BC9-9404-00A5005F003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1" authorId="55" xr:uid="{00000065-00E6-479C-B86D-00F20059001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2" authorId="56" xr:uid="{001A00E3-008F-4D3A-AC62-00210090000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3" authorId="57" xr:uid="{00530003-0066-4B27-B8B9-00BD00D7004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4" authorId="58" xr:uid="{001600B1-00CE-4CC0-B73B-009E0008005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5" authorId="59" xr:uid="{00290080-00C2-4D87-A237-007C00BC002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6" authorId="60" xr:uid="{00180017-00DF-4371-908A-00E300EE00F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7" authorId="61" xr:uid="{00B100B1-00E7-4B68-AC0F-00B7007D008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8" authorId="62" xr:uid="{0086009E-0040-45CC-B826-00AA00AD000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59" authorId="63" xr:uid="{006E00C1-0072-42ED-A835-00C700A6003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0" authorId="64" xr:uid="{00040010-00AD-4F93-8623-00EB00F4000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" authorId="65" xr:uid="{00E90052-0075-4569-8DE1-00630081005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1" authorId="66" xr:uid="{00270017-0041-4177-A8DF-00470005003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2" authorId="67" xr:uid="{00E0005E-006F-43A5-9081-000E00A700F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3" authorId="68" xr:uid="{00070017-00E0-4CA9-8ED6-0000000B00D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4" authorId="69" xr:uid="{00DE007D-005A-455A-A1D2-003600D900E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5" authorId="70" xr:uid="{0016007F-0061-4BB9-82F5-0005007600C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6" authorId="71" xr:uid="{00A6009F-009F-41B7-8FC6-0017002800F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7" authorId="72" xr:uid="{00490074-0062-49B9-B04B-00E9009B00F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8" authorId="73" xr:uid="{00FD002B-001C-431B-8D91-004B0060001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69" authorId="74" xr:uid="{00860001-00E1-46AB-982A-00E4006A00F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0" authorId="75" xr:uid="{00E900CB-00EC-4329-9EAA-00AB008F00B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8" authorId="76" xr:uid="{00790075-0023-43C7-BAD8-00DF00AF00A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1" authorId="77" xr:uid="{00F1006F-001A-49CE-B428-006F000D00C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2" authorId="78" xr:uid="{00F00046-008B-41A3-861C-004300F300A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3" authorId="79" xr:uid="{00D0002C-003D-4205-B9D6-00920046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4" authorId="80" xr:uid="{00280050-00F0-43ED-A819-005A00C7000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5" authorId="81" xr:uid="{0016007E-0037-4055-AC13-000B0027002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6" authorId="82" xr:uid="{007D0095-0047-4DAC-9C73-00EC0079007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7" authorId="83" xr:uid="{00840008-0079-4C53-A1F1-009400B300C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8" authorId="84" xr:uid="{0015005E-00CC-4320-9DC1-00720033000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79" authorId="85" xr:uid="{005F00B3-0061-4BDE-A025-00460037001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80" authorId="86" xr:uid="{00540035-00FD-4FCB-AED8-00A5006400E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9" authorId="87" xr:uid="{00AD0068-006D-4AC2-A6C4-00500002005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0" authorId="88" xr:uid="{002C00A8-008A-4419-9BA3-00790040001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4" authorId="89" xr:uid="{00E100E2-0096-466E-AACD-007E00B8007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5" authorId="90" xr:uid="{00B10050-00D3-4964-89A1-00C7009A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6" authorId="91" xr:uid="{009F006F-0095-410A-94F3-0037001C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7" authorId="92" xr:uid="{00F10054-0057-4F61-AF95-00080054004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8" authorId="93" xr:uid="{00B30024-0036-40E0-A8E1-004800BD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29" authorId="94" xr:uid="{0033009C-0075-48F0-B333-005700B9006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0" authorId="95" xr:uid="{0083008B-00F7-4E70-AA6C-006A000900B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1" authorId="96" xr:uid="{00FB0053-00C8-4832-AA6E-000A005600F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2" authorId="97" xr:uid="{00B4006C-0095-497C-B5A6-009600AC009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3" authorId="98" xr:uid="{000E00E1-002F-4E89-AB7F-00BD00FA00E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4" authorId="99" xr:uid="{002A00D1-000C-4905-8EE9-00050093002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5" authorId="100" xr:uid="{007100EF-00C5-4C95-9CD8-004800B0009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6" authorId="101" xr:uid="{000B0002-0099-4B4C-B2C7-003100EC005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7" authorId="102" xr:uid="{00690065-00E9-4237-8530-00C300C6009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8" authorId="103" xr:uid="{00BC0088-00BA-45D2-A615-00D20023006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39" authorId="104" xr:uid="{007B006E-0036-4E90-9B7A-008700C900B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0" authorId="105" xr:uid="{00E2002D-002B-4558-85E8-00E100E500A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1" authorId="106" xr:uid="{006D0072-008B-4002-96EB-002F0086000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2" authorId="107" xr:uid="{006000FA-00EA-4DDE-9795-0097001F00D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3" authorId="108" xr:uid="{00430019-0003-442E-BEF9-0092000900D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4" authorId="109" xr:uid="{005E0037-0034-4AA6-98B2-006D00FF00F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5" authorId="110" xr:uid="{0041004E-00FD-47F3-BB5B-00CA00A000C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6" authorId="111" xr:uid="{003F006D-0085-4E32-8F14-001D00F1002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7" authorId="112" xr:uid="{00EE0038-0015-4774-A401-003000D8009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8" authorId="113" xr:uid="{00A90066-009A-4241-98CF-009F00A200D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49" authorId="114" xr:uid="{000F0041-0027-4E11-9126-005C007E005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0" authorId="115" xr:uid="{0081002A-0071-47D4-BC38-002C00FF00C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1" authorId="116" xr:uid="{00A70013-0052-466C-AB3A-0028009E006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2" authorId="117" xr:uid="{00EB0003-0047-472E-B7E4-003D0036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3" authorId="118" xr:uid="{00FC0095-00F1-4A65-BAF4-00AD0086004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4" authorId="119" xr:uid="{004D0079-0098-4FCE-92A8-008C00B3004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5" authorId="120" xr:uid="{009400F1-00A3-431D-B949-004300C300D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6" authorId="121" xr:uid="{004B0055-0021-4876-AB9C-00100023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7" authorId="122" xr:uid="{00320090-0044-48F5-9F6D-00840022002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8" authorId="123" xr:uid="{00CB00A1-00E0-4F28-8A10-00040074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59" authorId="124" xr:uid="{00DD001C-00F0-438F-B6D7-004900AF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0" authorId="125" xr:uid="{00F200A6-0012-4922-AD9C-00E000D1004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1" authorId="126" xr:uid="{00D9007C-0006-49CB-A93B-00AA00B9006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2" authorId="127" xr:uid="{002500EC-0033-42E8-9E15-005D00A9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3" authorId="128" xr:uid="{00AB00DA-0022-41CB-908D-000200CB00C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4" authorId="129" xr:uid="{0008003C-0001-403A-BB8E-007500A900B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5" authorId="130" xr:uid="{0018009F-0021-40EF-8703-00E800B2009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6" authorId="131" xr:uid="{008000A0-0078-4C18-8E5E-005F00BC004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7" authorId="132" xr:uid="{00260074-001F-4BD8-B714-0035007D004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8" authorId="133" xr:uid="{00B40061-00D5-48C4-971A-00960011007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69" authorId="134" xr:uid="{00180042-007B-4667-AB70-00040077004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0" authorId="135" xr:uid="{00070006-0097-4FBF-9E96-00D20014008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" authorId="136" xr:uid="{001E005A-0078-41CA-85E8-000D007200E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1" authorId="137" xr:uid="{00750032-00D1-43BE-9F11-00AC002E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2" authorId="138" xr:uid="{000100AC-00FE-463D-8D28-00C6006F000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3" authorId="139" xr:uid="{00DF0066-0077-46E6-9664-007E0019005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4" authorId="140" xr:uid="{00C1005B-001F-4F86-812E-002D0047001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5" authorId="141" xr:uid="{006F0072-00D1-4E53-919E-00A0003500A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6" authorId="142" xr:uid="{00FA0027-0091-4079-A6D5-00F80002004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7" authorId="143" xr:uid="{00330008-0002-4E94-816E-002B0033003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8" authorId="144" xr:uid="{00310039-00F0-4937-9A12-0081002E007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79" authorId="145" xr:uid="{00CF00F0-00C8-4568-87E8-001800C0004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0" authorId="146" xr:uid="{002B00F9-001B-4921-B71C-00600098009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" authorId="147" xr:uid="{00EE0012-002E-4ED9-AA67-0070004D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1" authorId="148" xr:uid="{00290033-001F-47D1-AF60-00A000CA00A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2" authorId="149" xr:uid="{0065001B-0045-4210-BA69-003C007D003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3" authorId="150" xr:uid="{00BD006B-0086-483F-80A6-00C80099009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4" authorId="151" xr:uid="{00E90031-00B6-47A5-B3DE-00A60046003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5" authorId="152" xr:uid="{001F002F-00C0-4275-B6D1-00C1000B00B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6" authorId="153" xr:uid="{005A003D-0030-4353-BECD-00D600D2000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7" authorId="154" xr:uid="{00D800C5-00B9-49DA-8A1E-00F6006D00A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8" authorId="155" xr:uid="{009C0048-00B0-4719-A691-0005000F006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89" authorId="156" xr:uid="{00ED00D8-008E-4A11-87FD-003E00CF00B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0" authorId="157" xr:uid="{00D5009C-0071-4C39-AEBA-00AC0029004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" authorId="158" xr:uid="{006A00C1-00F3-4334-A321-0085008D00C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1" authorId="159" xr:uid="{00A3004F-009C-4DFB-9E26-00B2007D006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2" authorId="160" xr:uid="{00800054-0080-4FB8-AA90-00AD000300A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3" authorId="161" xr:uid="{00FF0080-00F1-43CB-A7DA-008800E9007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4" authorId="162" xr:uid="{00470051-0017-48A9-8B6D-00C6002F006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5" authorId="163" xr:uid="{007A00E4-0068-4CFF-8938-00ED002900E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6" authorId="164" xr:uid="{00FF00ED-007E-416F-AF33-00D7000E000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7" authorId="165" xr:uid="{00000033-0096-4510-8BD3-0030007A001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8" authorId="166" xr:uid="{00EC0012-0012-41EC-A495-00F800EC001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99" authorId="167" xr:uid="{00F500F8-00F7-4980-BC7D-00070049004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  <comment ref="K100" authorId="168" xr:uid="{009200E9-0070-4140-AA8C-00840058007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tc={00B800DB-0075-45CC-804A-0012001D0016}</author>
  </authors>
  <commentList>
    <comment ref="A2" authorId="0" xr:uid="{00B800DB-0075-45CC-804A-0012001D001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РАЗДЕЛ ЗАПОЛНЯЕТСЯ ДЛЯ МЕРОПРИЯТИЙ, НАПРАВЛЕННЫХ НА СОЗДАНИЕ И РАЗВИТИЕ ИС СПЕЦИАЛЬНОЙ И ТИПОВОЙ ДЕЯТЕЛЬНОСТИ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tc={00020047-0089-41C1-A497-009900570061}</author>
    <author>tc={00630091-003E-4532-B545-007B0049005F}</author>
    <author>tc={00240022-00F3-44D4-AEF0-000600AF00FD}</author>
    <author>tc={00D600F4-0028-4452-B932-00DA002800DC}</author>
    <author>tc={00CA0017-0004-42CA-AD2D-006C00B900CF}</author>
    <author>tc={0097002D-00D0-474D-AC06-00860049005E}</author>
    <author>tc={009900EE-007A-4D63-8565-00C400230046}</author>
    <author>tc={006C00A5-0013-4185-ADF6-0019007700F6}</author>
    <author>tc={007500B1-0052-4DA1-85EB-004800D90013}</author>
    <author>tc={00590005-000E-459A-AF77-006B00C000F5}</author>
    <author>tc={008300A8-00C8-43C6-B553-007000080028}</author>
    <author>tc={00A30036-001F-456E-813E-0096007000EC}</author>
    <author>tc={002A005D-0059-4750-A275-00F5001D00B6}</author>
    <author>tc={00CF0060-00E1-4220-A440-00F3001600AD}</author>
    <author>tc={000D0098-00C3-4703-B464-00D000C6002D}</author>
    <author>tc={00A200EE-0032-4C13-99B1-001B007D0047}</author>
    <author>tc={00110062-0003-48DF-BA75-003A00EF003F}</author>
    <author>tc={00210088-002F-42E8-B307-00E600B3000C}</author>
    <author>tc={005C0005-0055-4A24-BC3F-00AD00C500DC}</author>
    <author>tc={00920016-0035-457E-A1F8-006E0005008E}</author>
    <author>tc={0053000A-0036-4F54-8993-00E000B60036}</author>
    <author>tc={007800C3-00E2-41F8-8876-000C00FF009C}</author>
    <author>tc={009B0039-0065-4430-8A89-00CE006D00BD}</author>
    <author>tc={009A00F6-0011-45B7-88BA-005800700049}</author>
    <author>tc={0018009B-00DC-4BB9-8F76-00B000D90023}</author>
    <author>tc={00FC005A-00E0-4D5A-9536-002D006300E5}</author>
    <author>tc={00F0007A-00DA-4030-A0EF-00FD00270059}</author>
    <author>tc={00E300D6-00AC-44C4-809E-00A100250001}</author>
    <author>tc={0087005E-00DC-4315-8FC7-006F00C2008F}</author>
    <author>tc={00D40095-0013-4716-8DEB-00100045006E}</author>
    <author>tc={00830011-009E-4D2B-8514-000000590037}</author>
    <author>tc={009400FE-00F0-4EAF-8050-0011008E003C}</author>
    <author>tc={00C9009B-001E-4E71-922E-00E800D80002}</author>
    <author>tc={002900BB-0061-4532-AB42-007E000E00BF}</author>
    <author>tc={007D0046-0098-4E29-80A5-00A0006D00E0}</author>
    <author>tc={00D600B5-00C4-4380-8275-007000120085}</author>
    <author>tc={0005009A-008A-4AD4-A251-00E200830002}</author>
    <author>tc={00220016-00B4-41B8-A9DE-003F00270060}</author>
    <author>tc={00060060-00B0-4A33-A147-00A500C900DA}</author>
    <author>tc={00D10045-000F-473D-85B6-008500190061}</author>
    <author>tc={006400A2-0008-4946-8FDB-0024002B0019}</author>
    <author>tc={00E800EC-00F3-4AAF-8A6C-001B00F600DA}</author>
    <author>tc={004500A9-00CE-4C4F-B8A1-00D700D700AF}</author>
    <author>tc={00AC00F4-00BB-41F0-8CB8-0019000B005A}</author>
    <author>tc={000E00FC-0080-4ED0-AE72-0077003800CE}</author>
    <author>tc={00A20086-0006-4220-9191-00DA00E500B3}</author>
    <author>tc={00630067-00DA-4388-9C5E-00FE00FD00E6}</author>
    <author>tc={0090000B-00AF-4FA0-9E28-00F4005100F7}</author>
    <author>tc={002A00F1-00DA-4478-95BE-00A3001200A9}</author>
    <author>tc={0079002C-00D4-4E12-87F5-0043005B0076}</author>
    <author>tc={008800E3-00BC-42E3-A625-00E100A50008}</author>
    <author>tc={00A400D1-00D3-4056-84AB-00DE005100C0}</author>
    <author>tc={00E100C7-00FE-4748-A169-007000220033}</author>
    <author>tc={00950025-0047-488D-BA40-001F00C000A8}</author>
    <author>tc={00DA0065-005D-416A-B39D-00490036009C}</author>
    <author>tc={00110090-000F-4819-8EEA-009F0074003E}</author>
    <author>tc={005A00C6-00D4-4848-B119-00A600CE00F3}</author>
    <author>tc={001D00BB-0046-4F9A-B91D-0036007B00D3}</author>
    <author>tc={00840034-00A3-4A24-A66E-00FE0018002A}</author>
    <author>tc={00FE008E-004B-4EF1-8F8C-00FE002200F8}</author>
    <author>tc={00BE0038-0045-4C7F-A876-000C007F0072}</author>
    <author>tc={00390034-00BA-453F-992F-005000F6007E}</author>
    <author>tc={00AC009A-0077-4C19-A442-00C800B2003B}</author>
    <author>tc={00940015-006F-40E6-9D3A-00C500C40077}</author>
    <author>tc={00340063-0037-4CF5-AF29-006B009E0036}</author>
    <author>tc={001300D9-0089-4F86-B321-003500980032}</author>
    <author>tc={007B00DD-00C2-4A52-96BF-006F006E0056}</author>
    <author>tc={00FA006B-0063-4E01-929B-00BA00C00041}</author>
    <author>tc={00E50091-0093-46B2-B0D8-008B009100C9}</author>
    <author>tc={00D000F2-009C-4877-A39C-00AC00C90076}</author>
    <author>tc={00180046-006A-4BD6-AB8C-00BA00B30003}</author>
    <author>tc={005900D8-000F-4A49-8E57-00A6008000E0}</author>
    <author>tc={00F80008-0042-4ABF-9D2F-003400C200B3}</author>
    <author>tc={009B00C7-00DB-4E19-8B45-007F00F100D2}</author>
    <author>tc={00AB001D-0059-4BAD-9453-007200EA00CA}</author>
    <author>tc={00D900A6-005C-4DC7-B318-0050006A00DC}</author>
    <author>tc={00960010-002B-4E23-A7D1-002E0097007A}</author>
    <author>tc={009A009F-002E-4274-8EC7-0074007800CE}</author>
    <author>tc={005E00AA-0075-48E0-86BE-005F00790034}</author>
    <author>tc={00A1001B-0030-4481-A785-008200E800BB}</author>
    <author>tc={00E700F3-0035-49E6-886C-0040007A00A8}</author>
    <author>tc={00F500C4-007E-4B90-96C7-005400C700F3}</author>
    <author>tc={00570034-00A8-4676-BC71-004900C900C8}</author>
    <author>tc={00DA0081-0075-4E81-9644-000200610007}</author>
    <author>tc={001200F7-004A-4B11-BAA2-003400D200C4}</author>
    <author>tc={00D5007C-00B1-4376-8FF0-00E6004400C8}</author>
    <author>tc={00BE0005-00D8-4B77-B315-00F80042000E}</author>
    <author>tc={00AB001E-0011-4FCF-ADFE-0099003D0047}</author>
    <author>tc={00400066-0051-42AA-BE1E-00D000070057}</author>
    <author>tc={00620010-00B1-482D-AAE6-00F4005800D6}</author>
    <author>tc={00BC0063-00EF-42EC-AC53-0034004C008F}</author>
    <author>tc={003D003B-00EE-4071-A15D-000F00E30004}</author>
    <author>tc={00980086-0031-45BC-9687-00DD008100E8}</author>
    <author>tc={00C300C8-0064-4BBD-9C57-0044006B00A3}</author>
    <author>tc={00790097-00D4-4BDC-ADD2-00C4005000D2}</author>
    <author>tc={00B8001F-00F2-4C71-A708-002C00BD00C5}</author>
  </authors>
  <commentList>
    <comment ref="A2" authorId="0" xr:uid="{00020047-0089-41C1-A497-00990057006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РАЗДЕЛ ЗАПОЛНЯЕТСЯ ТОЛЬКО ДЛЯ ПРИОРИТЕТНЫХ МЕРОПРИЯТИЙ ПО ИНФОРМАТИЗАЦИИ
</t>
        </r>
      </text>
    </comment>
    <comment ref="B11" authorId="1" xr:uid="{00630091-003E-4532-B545-007B0049005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01" authorId="2" xr:uid="{00240022-00F3-44D4-AEF0-000600AF00F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02" authorId="3" xr:uid="{00D600F4-0028-4452-B932-00DA002800D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03" authorId="4" xr:uid="{00CA0017-0004-42CA-AD2D-006C00B900C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2" authorId="5" xr:uid="{0097002D-00D0-474D-AC06-00860049005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3" authorId="6" xr:uid="{009900EE-007A-4D63-8565-00C40023004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4" authorId="7" xr:uid="{006C00A5-0013-4185-ADF6-0019007700F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5" authorId="8" xr:uid="{007500B1-0052-4DA1-85EB-004800D9001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6" authorId="9" xr:uid="{00590005-000E-459A-AF77-006B00C000F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7" authorId="10" xr:uid="{008300A8-00C8-43C6-B553-00700008002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8" authorId="11" xr:uid="{00A30036-001F-456E-813E-0096007000E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9" authorId="12" xr:uid="{002A005D-0059-4750-A275-00F5001D00B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0" authorId="13" xr:uid="{00CF0060-00E1-4220-A440-00F3001600A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1" authorId="14" xr:uid="{000D0098-00C3-4703-B464-00D000C6002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2" authorId="15" xr:uid="{00A200EE-0032-4C13-99B1-001B007D004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3" authorId="16" xr:uid="{00110062-0003-48DF-BA75-003A00EF003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4" authorId="17" xr:uid="{00210088-002F-42E8-B307-00E600B3000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5" authorId="18" xr:uid="{005C0005-0055-4A24-BC3F-00AD00C500D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6" authorId="19" xr:uid="{00920016-0035-457E-A1F8-006E0005008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7" authorId="20" xr:uid="{0053000A-0036-4F54-8993-00E000B6003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8" authorId="21" xr:uid="{007800C3-00E2-41F8-8876-000C00FF009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29" authorId="22" xr:uid="{009B0039-0065-4430-8A89-00CE006D00B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0" authorId="23" xr:uid="{009A00F6-0011-45B7-88BA-00580070004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1" authorId="24" xr:uid="{0018009B-00DC-4BB9-8F76-00B000D9002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2" authorId="25" xr:uid="{00FC005A-00E0-4D5A-9536-002D006300E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3" authorId="26" xr:uid="{00F0007A-00DA-4030-A0EF-00FD0027005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4" authorId="27" xr:uid="{00E300D6-00AC-44C4-809E-00A10025000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5" authorId="28" xr:uid="{0087005E-00DC-4315-8FC7-006F00C2008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6" authorId="29" xr:uid="{00D40095-0013-4716-8DEB-00100045006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7" authorId="30" xr:uid="{00830011-009E-4D2B-8514-00000059003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8" authorId="31" xr:uid="{009400FE-00F0-4EAF-8050-0011008E003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39" authorId="32" xr:uid="{00C9009B-001E-4E71-922E-00E800D8000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0" authorId="33" xr:uid="{002900BB-0061-4532-AB42-007E000E00B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1" authorId="34" xr:uid="{007D0046-0098-4E29-80A5-00A0006D00E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2" authorId="35" xr:uid="{00D600B5-00C4-4380-8275-00700012008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3" authorId="36" xr:uid="{0005009A-008A-4AD4-A251-00E20083000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4" authorId="37" xr:uid="{00220016-00B4-41B8-A9DE-003F0027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5" authorId="38" xr:uid="{00060060-00B0-4A33-A147-00A500C900D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6" authorId="39" xr:uid="{00D10045-000F-473D-85B6-00850019006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7" authorId="40" xr:uid="{006400A2-0008-4946-8FDB-0024002B001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8" authorId="41" xr:uid="{00E800EC-00F3-4AAF-8A6C-001B00F600D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49" authorId="42" xr:uid="{004500A9-00CE-4C4F-B8A1-00D700D700A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0" authorId="43" xr:uid="{00AC00F4-00BB-41F0-8CB8-0019000B005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1" authorId="44" xr:uid="{000E00FC-0080-4ED0-AE72-0077003800C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2" authorId="45" xr:uid="{00A20086-0006-4220-9191-00DA00E500B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3" authorId="46" xr:uid="{00630067-00DA-4388-9C5E-00FE00FD00E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4" authorId="47" xr:uid="{0090000B-00AF-4FA0-9E28-00F40051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5" authorId="48" xr:uid="{002A00F1-00DA-4478-95BE-00A3001200A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6" authorId="49" xr:uid="{0079002C-00D4-4E12-87F5-0043005B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7" authorId="50" xr:uid="{008800E3-00BC-42E3-A625-00E100A5000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8" authorId="51" xr:uid="{00A400D1-00D3-4056-84AB-00DE005100C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59" authorId="52" xr:uid="{00E100C7-00FE-4748-A169-00700022003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0" authorId="53" xr:uid="{00950025-0047-488D-BA40-001F00C000A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1" authorId="54" xr:uid="{00DA0065-005D-416A-B39D-00490036009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2" authorId="55" xr:uid="{00110090-000F-4819-8EEA-009F0074003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3" authorId="56" xr:uid="{005A00C6-00D4-4848-B119-00A600CE00F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4" authorId="57" xr:uid="{001D00BB-0046-4F9A-B91D-0036007B00D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5" authorId="58" xr:uid="{00840034-00A3-4A24-A66E-00FE0018002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6" authorId="59" xr:uid="{00FE008E-004B-4EF1-8F8C-00FE002200F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7" authorId="60" xr:uid="{00BE0038-0045-4C7F-A876-000C007F007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8" authorId="61" xr:uid="{00390034-00BA-453F-992F-005000F6007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69" authorId="62" xr:uid="{00AC009A-0077-4C19-A442-00C800B2003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0" authorId="63" xr:uid="{00940015-006F-40E6-9D3A-00C500C4007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1" authorId="64" xr:uid="{00340063-0037-4CF5-AF29-006B009E003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2" authorId="65" xr:uid="{001300D9-0089-4F86-B321-00350098003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3" authorId="66" xr:uid="{007B00DD-00C2-4A52-96BF-006F006E005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4" authorId="67" xr:uid="{00FA006B-0063-4E01-929B-00BA00C0004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5" authorId="68" xr:uid="{00E50091-0093-46B2-B0D8-008B009100C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6" authorId="69" xr:uid="{00D000F2-009C-4877-A39C-00AC00C9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7" authorId="70" xr:uid="{00180046-006A-4BD6-AB8C-00BA00B3000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8" authorId="71" xr:uid="{005900D8-000F-4A49-8E57-00A6008000E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79" authorId="72" xr:uid="{00F80008-0042-4ABF-9D2F-003400C200B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0" authorId="73" xr:uid="{009B00C7-00DB-4E19-8B45-007F00F1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" authorId="74" xr:uid="{00AB001D-0059-4BAD-9453-007200EA00C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1" authorId="75" xr:uid="{00D900A6-005C-4DC7-B318-0050006A00D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2" authorId="76" xr:uid="{00960010-002B-4E23-A7D1-002E0097007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3" authorId="77" xr:uid="{009A009F-002E-4274-8EC7-0074007800C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4" authorId="78" xr:uid="{005E00AA-0075-48E0-86BE-005F0079003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5" authorId="79" xr:uid="{00A1001B-0030-4481-A785-008200E800B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6" authorId="80" xr:uid="{00E700F3-0035-49E6-886C-0040007A00A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7" authorId="81" xr:uid="{00F500C4-007E-4B90-96C7-005400C700F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8" authorId="82" xr:uid="{00570034-00A8-4676-BC71-004900C900C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89" authorId="83" xr:uid="{00DA0081-0075-4E81-9644-00020061000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0" authorId="84" xr:uid="{001200F7-004A-4B11-BAA2-003400D200C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0" authorId="85" xr:uid="{00D5007C-00B1-4376-8FF0-00E6004400C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1" authorId="86" xr:uid="{00BE0005-00D8-4B77-B315-00F80042000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2" authorId="87" xr:uid="{00AB001E-0011-4FCF-ADFE-0099003D004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3" authorId="88" xr:uid="{00400066-0051-42AA-BE1E-00D00007005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4" authorId="89" xr:uid="{00620010-00B1-482D-AAE6-00F40058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5" authorId="90" xr:uid="{00BC0063-00EF-42EC-AC53-0034004C008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6" authorId="91" xr:uid="{003D003B-00EE-4071-A15D-000F00E3000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7" authorId="92" xr:uid="{00980086-0031-45BC-9687-00DD008100E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8" authorId="93" xr:uid="{00C300C8-0064-4BBD-9C57-0044006B00A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99" authorId="94" xr:uid="{00790097-00D4-4BDC-ADD2-00C40050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  <comment ref="B100" authorId="95" xr:uid="{00B8001F-00F2-4C71-A708-002C00BD00C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tc={00CC00F1-0000-4E26-B046-006E007C00F7}</author>
    <author>tc={00CD002F-0057-4648-AEC1-000A00A300A1}</author>
    <author>tc={004300A0-00D4-4D4C-8B86-002200A700FF}</author>
    <author>tc={002100EB-00B4-442F-9CE6-00A000E600B9}</author>
    <author>tc={001C00E9-006F-494F-813B-007100B40060}</author>
    <author>tc={00430014-0007-43D6-B9A5-00B800320012}</author>
    <author>tc={006800FB-0021-4664-A8C3-006900E30025}</author>
    <author>tc={00A300C3-0088-4B8A-A93B-00CE002F00A0}</author>
    <author>tc={00CD00A0-00A8-424D-B435-000300E200BF}</author>
    <author>tc={00060060-0014-4AA9-97DF-007A00AA0073}</author>
    <author>tc={003000E1-0000-420B-BDE6-0078009C00E0}</author>
    <author>tc={00720096-00C7-4FD6-8202-009600B000DE}</author>
    <author>tc={00B60006-0067-41DF-986A-004200400079}</author>
    <author>tc={002A004C-0000-48F1-845B-003B008D0071}</author>
    <author>tc={00C30098-0059-454A-9E96-0018003B00BB}</author>
    <author>tc={00B500AD-005B-431B-ABDF-00C200D000FD}</author>
    <author>tc={00FC0061-0094-470C-837F-00F500380016}</author>
    <author>tc={00D70020-00B5-4AB6-85C3-00C300440093}</author>
    <author>tc={00480069-0014-4928-A27B-00110026003B}</author>
    <author>tc={00950050-002B-4B62-AF7D-001800F60085}</author>
    <author>tc={00CA00FA-0017-44DD-8F20-00E60031001C}</author>
    <author>tc={00340024-001A-4001-A6BF-00DA00350062}</author>
    <author>tc={00E7009C-001A-4AAD-A53E-002B00C600EA}</author>
    <author>tc={003A00C6-001F-42B2-9981-0062008C00FC}</author>
    <author>tc={00460019-00D8-4258-98F1-00DB00930015}</author>
    <author>tc={006A00A0-0017-4CD9-B5F7-004800C90065}</author>
    <author>tc={00CA0079-0051-4AE1-8687-002E0083004F}</author>
    <author>tc={00CB0059-001F-4714-BA95-006600F900EC}</author>
    <author>tc={00980006-00C0-4A87-829A-009D00C50088}</author>
    <author>tc={00A000DB-0094-4946-8612-00D400680024}</author>
    <author>tc={00160048-00A2-4ECD-A9FD-00E100C600F2}</author>
    <author>tc={0070004F-0013-4A8F-A762-00ED00A500DC}</author>
    <author>tc={00E90008-00B5-4C72-B1C6-00F4003100FE}</author>
    <author>tc={00FF001E-0079-4150-ADBA-0048007B0027}</author>
    <author>tc={00F60050-00F5-4F78-B74A-000D00F5005C}</author>
    <author>tc={005300F1-00E3-432B-B88D-00BE00F80055}</author>
    <author>tc={00610068-00A0-4B20-901D-00A7003E00FE}</author>
    <author>tc={00AF00B1-00AE-4500-8794-006A006800F7}</author>
    <author>tc={009000DA-0033-49EA-9A14-007A007A0014}</author>
    <author>tc={00990087-0078-4AF0-8AC1-00A3005A00DE}</author>
    <author>tc={0027006F-006A-4D99-8B44-008000540010}</author>
    <author>tc={00D700DC-001C-485D-B24A-00030099001B}</author>
    <author>tc={000C002E-0042-4F2C-8203-00F000BB00A2}</author>
    <author>tc={006D0059-00B8-4FE7-BEA2-0062003300FF}</author>
    <author>tc={00640062-00F9-4EE5-94E4-004500DB00BC}</author>
    <author>tc={00A000E7-00A9-436F-9083-00DA0074001B}</author>
    <author>tc={00930094-000C-4445-A2BE-00370022008F}</author>
    <author>tc={00F500AE-008C-4417-B8DC-00C400EB0040}</author>
    <author>tc={003F008C-0037-4E0D-A2A6-00BF003B008B}</author>
    <author>tc={00310019-003E-423F-88E8-00B900630080}</author>
    <author>tc={004D0054-0078-423D-B3F1-001600150062}</author>
    <author>tc={005900D0-00DC-4D89-A217-009100EA002A}</author>
    <author>tc={00E10034-000B-4E18-AE33-00B600DD0004}</author>
    <author>tc={00B300BB-00C4-44D4-8620-006600CD00D0}</author>
    <author>tc={006100B5-006D-461D-B140-005700FE00A3}</author>
    <author>tc={00C20005-0091-4643-A6F8-009100980044}</author>
    <author>tc={007100A1-005C-460E-B530-00F2002700B0}</author>
    <author>tc={004D0015-0021-4F37-B6D3-00AA001A0096}</author>
    <author>tc={00F70000-00D5-40EC-9A56-00C0004400DB}</author>
    <author>tc={00580096-0091-4C4F-B829-008B005E0016}</author>
    <author>tc={0018001C-0014-40F7-B946-003A00820015}</author>
    <author>tc={0028006F-003F-496E-8DAB-004D00B10057}</author>
    <author>tc={0039007E-0097-47B2-B2D9-001A004F0091}</author>
    <author>tc={004200CB-00C6-41B5-8A52-004900A20029}</author>
    <author>tc={00FE00ED-001A-4DDC-8020-0057005700BD}</author>
    <author>tc={006B0011-0004-4F83-814F-001700FC009D}</author>
    <author>tc={004D0074-009B-4377-8270-002C0087004D}</author>
    <author>tc={00A900EB-0017-4C7B-9619-009100CD0004}</author>
    <author>tc={004A005C-0056-4FC4-9361-0012000C0030}</author>
    <author>tc={003F0042-005A-417D-8C66-00D0006200EF}</author>
    <author>tc={005B002D-00C9-4144-94C6-00C000540097}</author>
    <author>tc={00B40040-006B-46AB-9828-002C00480030}</author>
    <author>tc={002500B1-00B0-4DB8-80B5-0031000B00F4}</author>
    <author>tc={00CC004C-0028-4365-AD97-003F004B00D6}</author>
    <author>tc={008C00F0-0009-4220-B981-009C001E00F8}</author>
    <author>tc={008C0010-00AC-4E4C-9127-00E2007A0033}</author>
    <author>tc={00B60033-0010-42BF-99C3-007C00BA0093}</author>
    <author>tc={00390075-0056-4D42-A78E-002D001F00D9}</author>
    <author>tc={00070004-0043-4B14-844A-0089004D00F7}</author>
    <author>tc={005800A4-00C1-4567-85BF-007A00CA0097}</author>
    <author>tc={00F500B2-005F-4527-8CC9-004F0049001D}</author>
    <author>tc={00410044-0092-4203-BE95-00BE00A200E3}</author>
    <author>tc={0026002B-005E-4DE1-B431-00BD00830095}</author>
    <author>tc={00AF0006-00CB-4B1C-80EF-006200470080}</author>
    <author>tc={009C00E1-0082-4226-A9A9-00BA00CD0080}</author>
    <author>tc={00550046-0071-4CFC-8464-00A600290053}</author>
    <author>tc={007E0042-0045-4D61-AEA6-00B6007A00F0}</author>
    <author>tc={006F0037-0007-4E28-8852-0074006900A0}</author>
    <author>tc={0041009D-0064-4697-97D3-003C00FF00DE}</author>
    <author>tc={0054007F-002F-46E9-8094-00C1002E00DB}</author>
    <author>tc={00C900FC-00DD-44CA-8988-0086004900FA}</author>
    <author>tc={000900C7-0008-47DE-B39F-006500860055}</author>
    <author>tc={003C00A7-00ED-463B-A057-000B00830036}</author>
    <author>tc={00D300F7-00ED-40EB-8828-007A00BE009F}</author>
    <author>tc={00FF0027-0010-406B-8117-0086001C00C3}</author>
    <author>tc={0037003A-007D-412E-9525-00590063008A}</author>
    <author>tc={00B60046-0003-401B-A8DB-00EF00C00011}</author>
    <author>tc={00FB00F8-0093-470A-B1C8-009A00420027}</author>
    <author>tc={0047000D-00C4-494B-BCFC-007F005C00D1}</author>
    <author>tc={002300D9-004E-401F-858A-0018006700C8}</author>
    <author>tc={00D700C4-008F-473D-9B0A-00B0001E00F6}</author>
    <author>tc={00F300C8-000A-494F-981B-00EA002000FC}</author>
    <author>tc={00C60067-007A-42AB-A48B-00150005006D}</author>
    <author>tc={00E400AF-0038-4BC1-99CB-002F00C200A5}</author>
    <author>tc={00CA00F4-00E2-4C72-A8DD-003A007200AE}</author>
    <author>tc={00F200EC-0063-4EBA-A176-006900FA0095}</author>
    <author>tc={00B00025-0053-4AE9-B466-007C00C400E2}</author>
    <author>tc={00CF00BB-00A4-4B06-8990-00150084007C}</author>
    <author>tc={00AC0078-00AA-4D6D-B704-00E800DD00FE}</author>
    <author>tc={00F600F7-0006-4668-997C-0034008E00AA}</author>
    <author>tc={002000E8-00FD-49B7-933B-001000BC00F3}</author>
    <author>tc={00E0008D-00FA-470B-A283-00E5006D0002}</author>
    <author>tc={00B0003E-0009-4689-8820-00EF000E0032}</author>
    <author>tc={005000E6-005C-454D-BDDB-00C000EE0094}</author>
    <author>tc={00420085-00CA-41E4-BD06-00BD00C1006B}</author>
    <author>tc={004D00AC-004B-48D1-94F6-009E001E00B1}</author>
    <author>tc={00FB0003-007E-4109-9185-00F300000090}</author>
    <author>tc={001B00C6-0023-4877-B18C-009A004900EA}</author>
    <author>tc={003F0043-00A1-4079-AD6E-004A003A00D2}</author>
    <author>tc={003F005E-0081-4A61-8D91-000B00FD0010}</author>
    <author>tc={00B4000D-00F0-43F4-90DA-00BB001C00A1}</author>
    <author>tc={007E00DD-0041-43EE-A33A-008B00070034}</author>
    <author>tc={003F006B-0069-467D-A41D-0080009100AE}</author>
    <author>tc={00DE00EC-0082-49C2-BCFA-00F3007300A7}</author>
    <author>tc={00690045-000C-48F8-A4B9-0027002D0089}</author>
    <author>tc={0051009E-0038-48FC-97DD-001D00E900FF}</author>
    <author>tc={000400A6-0049-4A53-87CB-001100C800EB}</author>
    <author>tc={00A20074-00A0-4FBB-858A-005B008F00FB}</author>
    <author>tc={00130014-0070-432D-BBFC-00BB006D00F8}</author>
    <author>tc={00AF00D2-0026-47E5-8F26-00D2004B00C5}</author>
    <author>tc={00E60019-0071-40F3-B6EA-0007007600EA}</author>
    <author>tc={00C100BB-0089-4E18-96DC-005200C5009F}</author>
    <author>tc={0008009F-004D-418A-B717-008200740050}</author>
    <author>tc={00CC0041-00BD-4C74-BAB6-00B700A2001D}</author>
    <author>tc={00DE002F-0080-4B74-A659-00E700D4005A}</author>
    <author>tc={0055008D-005F-431D-B6A6-005A0070000F}</author>
    <author>tc={000C0091-00C8-4C73-86C4-002E00430079}</author>
    <author>tc={00210007-004C-4171-86E2-00D400FC0088}</author>
    <author>tc={007800CE-0021-4986-82AE-009000AF0060}</author>
    <author>tc={0036005A-00A1-4613-B7DE-00FD005300D8}</author>
    <author>tc={00460030-00C9-4EEE-BCAB-0087004400FD}</author>
    <author>tc={00D7006D-00BB-4EE3-B64F-00EF00C10090}</author>
    <author>tc={00DC0040-003C-402E-9F8F-00CB006F0084}</author>
    <author>tc={008B006B-0037-4902-9F2D-000300D50081}</author>
    <author>tc={00DF00C6-0038-4806-AE73-005400DE0064}</author>
    <author>tc={001600BB-00F2-40D2-8FAA-00D1005A00BC}</author>
    <author>tc={00FE0099-00FD-4AC0-B5C3-005F00780034}</author>
    <author>tc={00050039-00D8-4747-9D98-0042002D0094}</author>
    <author>tc={003300CB-00B9-4876-94A8-005E007C004E}</author>
    <author>tc={007D0008-0008-41F3-B53D-0033005D0092}</author>
    <author>tc={00A500B8-0080-4F65-BD9C-0011003F0047}</author>
    <author>tc={00340078-00FE-4AED-86B3-005600550094}</author>
  </authors>
  <commentList>
    <comment ref="B11" authorId="0" xr:uid="{00CC00F1-0000-4E26-B046-006E007C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1" authorId="1" xr:uid="{00CD002F-0057-4648-AEC1-000A00A300A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2" authorId="2" xr:uid="{004300A0-00D4-4D4C-8B86-002200A700F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2" authorId="3" xr:uid="{002100EB-00B4-442F-9CE6-00A000E600B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3" authorId="4" xr:uid="{001C00E9-006F-494F-813B-007100B4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3" authorId="5" xr:uid="{00430014-0007-43D6-B9A5-00B80032001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4" authorId="6" xr:uid="{006800FB-0021-4664-A8C3-006900E3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4" authorId="7" xr:uid="{00A300C3-0088-4B8A-A93B-00CE002F00A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5" authorId="8" xr:uid="{00CD00A0-00A8-424D-B435-000300E200B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5" authorId="9" xr:uid="{00060060-0014-4AA9-97DF-007A00AA007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6" authorId="10" xr:uid="{003000E1-0000-420B-BDE6-0078009C00E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6" authorId="11" xr:uid="{00720096-00C7-4FD6-8202-009600B000D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7" authorId="12" xr:uid="{00B60006-0067-41DF-986A-00420040007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7" authorId="13" xr:uid="{002A004C-0000-48F1-845B-003B008D007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8" authorId="14" xr:uid="{00C30098-0059-454A-9E96-0018003B00B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8" authorId="15" xr:uid="{00B500AD-005B-431B-ABDF-00C200D000F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19" authorId="16" xr:uid="{00FC0061-0094-470C-837F-00F50038001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19" authorId="17" xr:uid="{00D70020-00B5-4AB6-85C3-00C30044009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0" authorId="18" xr:uid="{00480069-0014-4928-A27B-00110026003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0" authorId="19" xr:uid="{00950050-002B-4B62-AF7D-001800F6008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1" authorId="20" xr:uid="{00CA00FA-0017-44DD-8F20-00E60031001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1" authorId="21" xr:uid="{00340024-001A-4001-A6BF-00DA0035006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2" authorId="22" xr:uid="{00E7009C-001A-4AAD-A53E-002B00C600E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2" authorId="23" xr:uid="{003A00C6-001F-42B2-9981-0062008C00F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3" authorId="24" xr:uid="{00460019-00D8-4258-98F1-00DB0093001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3" authorId="25" xr:uid="{006A00A0-0017-4CD9-B5F7-004800C9006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4" authorId="26" xr:uid="{00CA0079-0051-4AE1-8687-002E0083004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4" authorId="27" xr:uid="{00CB0059-001F-4714-BA95-006600F900E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5" authorId="28" xr:uid="{00980006-00C0-4A87-829A-009D00C5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5" authorId="29" xr:uid="{00A000DB-0094-4946-8612-00D40068002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6" authorId="30" xr:uid="{00160048-00A2-4ECD-A9FD-00E100C600F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6" authorId="31" xr:uid="{0070004F-0013-4A8F-A762-00ED00A500D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7" authorId="32" xr:uid="{00E90008-00B5-4C72-B1C6-00F4003100F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7" authorId="33" xr:uid="{00FF001E-0079-4150-ADBA-0048007B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8" authorId="34" xr:uid="{00F60050-00F5-4F78-B74A-000D00F5005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8" authorId="35" xr:uid="{005300F1-00E3-432B-B88D-00BE00F8005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29" authorId="36" xr:uid="{00610068-00A0-4B20-901D-00A7003E00F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29" authorId="37" xr:uid="{00AF00B1-00AE-4500-8794-006A0068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0" authorId="38" xr:uid="{009000DA-0033-49EA-9A14-007A007A001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0" authorId="39" xr:uid="{00990087-0078-4AF0-8AC1-00A3005A00D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1" authorId="40" xr:uid="{0027006F-006A-4D99-8B44-00800054001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1" authorId="41" xr:uid="{00D700DC-001C-485D-B24A-00030099001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2" authorId="42" xr:uid="{000C002E-0042-4F2C-8203-00F000BB00A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2" authorId="43" xr:uid="{006D0059-00B8-4FE7-BEA2-0062003300F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3" authorId="44" xr:uid="{00640062-00F9-4EE5-94E4-004500DB00B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3" authorId="45" xr:uid="{00A000E7-00A9-436F-9083-00DA0074001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4" authorId="46" xr:uid="{00930094-000C-4445-A2BE-00370022008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4" authorId="47" xr:uid="{00F500AE-008C-4417-B8DC-00C400EB004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5" authorId="48" xr:uid="{003F008C-0037-4E0D-A2A6-00BF003B008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5" authorId="49" xr:uid="{00310019-003E-423F-88E8-00B90063008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6" authorId="50" xr:uid="{004D0054-0078-423D-B3F1-00160015006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6" authorId="51" xr:uid="{005900D0-00DC-4D89-A217-009100EA002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7" authorId="52" xr:uid="{00E10034-000B-4E18-AE33-00B600DD000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7" authorId="53" xr:uid="{00B300BB-00C4-44D4-8620-006600CD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8" authorId="54" xr:uid="{006100B5-006D-461D-B140-005700FE00A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8" authorId="55" xr:uid="{00C20005-0091-4643-A6F8-00910098004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39" authorId="56" xr:uid="{007100A1-005C-460E-B530-00F2002700B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39" authorId="57" xr:uid="{004D0015-0021-4F37-B6D3-00AA001A009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0" authorId="58" xr:uid="{00F70000-00D5-40EC-9A56-00C0004400D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0" authorId="59" xr:uid="{00580096-0091-4C4F-B829-008B005E001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1" authorId="60" xr:uid="{0018001C-0014-40F7-B946-003A0082001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1" authorId="61" xr:uid="{0028006F-003F-496E-8DAB-004D00B1005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2" authorId="62" xr:uid="{0039007E-0097-47B2-B2D9-001A004F009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2" authorId="63" xr:uid="{004200CB-00C6-41B5-8A52-004900A2002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3" authorId="64" xr:uid="{00FE00ED-001A-4DDC-8020-0057005700B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3" authorId="65" xr:uid="{006B0011-0004-4F83-814F-001700FC009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4" authorId="66" xr:uid="{004D0074-009B-4377-8270-002C0087004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4" authorId="67" xr:uid="{00A900EB-0017-4C7B-9619-009100CD000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5" authorId="68" xr:uid="{004A005C-0056-4FC4-9361-0012000C003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5" authorId="69" xr:uid="{003F0042-005A-417D-8C66-00D0006200E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6" authorId="70" xr:uid="{005B002D-00C9-4144-94C6-00C00054009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6" authorId="71" xr:uid="{00B40040-006B-46AB-9828-002C0048003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7" authorId="72" xr:uid="{002500B1-00B0-4DB8-80B5-0031000B00F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7" authorId="73" xr:uid="{00CC004C-0028-4365-AD97-003F004B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8" authorId="74" xr:uid="{008C00F0-0009-4220-B981-009C001E00F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8" authorId="75" xr:uid="{008C0010-00AC-4E4C-9127-00E2007A003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49" authorId="76" xr:uid="{00B60033-0010-42BF-99C3-007C00BA009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49" authorId="77" xr:uid="{00390075-0056-4D42-A78E-002D001F00D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0" authorId="78" xr:uid="{00070004-0043-4B14-844A-0089004D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0" authorId="79" xr:uid="{005800A4-00C1-4567-85BF-007A00CA009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" authorId="80" xr:uid="{00F500B2-005F-4527-8CC9-004F0049001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" authorId="81" xr:uid="{00410044-0092-4203-BE95-00BE00A200E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1" authorId="82" xr:uid="{0026002B-005E-4DE1-B431-00BD0083009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1" authorId="83" xr:uid="{00AF0006-00CB-4B1C-80EF-00620047008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2" authorId="84" xr:uid="{009C00E1-0082-4226-A9A9-00BA00CD008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2" authorId="85" xr:uid="{00550046-0071-4CFC-8464-00A60029005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3" authorId="86" xr:uid="{007E0042-0045-4D61-AEA6-00B6007A00F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3" authorId="87" xr:uid="{006F0037-0007-4E28-8852-0074006900A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4" authorId="88" xr:uid="{0041009D-0064-4697-97D3-003C00FF00D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4" authorId="89" xr:uid="{0054007F-002F-46E9-8094-00C1002E00D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5" authorId="90" xr:uid="{00C900FC-00DD-44CA-8988-0086004900F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5" authorId="91" xr:uid="{000900C7-0008-47DE-B39F-00650086005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6" authorId="92" xr:uid="{003C00A7-00ED-463B-A057-000B0083003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6" authorId="93" xr:uid="{00D300F7-00ED-40EB-8828-007A00BE009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7" authorId="94" xr:uid="{00FF0027-0010-406B-8117-0086001C00C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7" authorId="95" xr:uid="{0037003A-007D-412E-9525-00590063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8" authorId="96" xr:uid="{00B60046-0003-401B-A8DB-00EF00C0001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8" authorId="97" xr:uid="{00FB00F8-0093-470A-B1C8-009A0042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59" authorId="98" xr:uid="{0047000D-00C4-494B-BCFC-007F005C00D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59" authorId="99" xr:uid="{002300D9-004E-401F-858A-0018006700C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0" authorId="100" xr:uid="{00D700C4-008F-473D-9B0A-00B0001E00F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0" authorId="101" xr:uid="{00F300C8-000A-494F-981B-00EA002000F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" authorId="102" xr:uid="{00C60067-007A-42AB-A48B-00150005006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" authorId="103" xr:uid="{00E400AF-0038-4BC1-99CB-002F00C200A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1" authorId="104" xr:uid="{00CA00F4-00E2-4C72-A8DD-003A0072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1" authorId="105" xr:uid="{00F200EC-0063-4EBA-A176-006900FA009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2" authorId="106" xr:uid="{00B00025-0053-4AE9-B466-007C00C400E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2" authorId="107" xr:uid="{00CF00BB-00A4-4B06-8990-00150084007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3" authorId="108" xr:uid="{00AC0078-00AA-4D6D-B704-00E800DD00F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3" authorId="109" xr:uid="{00F600F7-0006-4668-997C-0034008E00A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4" authorId="110" xr:uid="{002000E8-00FD-49B7-933B-001000BC00F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4" authorId="111" xr:uid="{00E0008D-00FA-470B-A283-00E5006D000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5" authorId="112" xr:uid="{00B0003E-0009-4689-8820-00EF000E003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5" authorId="113" xr:uid="{005000E6-005C-454D-BDDB-00C000EE009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6" authorId="114" xr:uid="{00420085-00CA-41E4-BD06-00BD00C1006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6" authorId="115" xr:uid="{004D00AC-004B-48D1-94F6-009E001E00B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7" authorId="116" xr:uid="{00FB0003-007E-4109-9185-00F30000009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7" authorId="117" xr:uid="{001B00C6-0023-4877-B18C-009A004900E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8" authorId="118" xr:uid="{003F0043-00A1-4079-AD6E-004A003A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8" authorId="119" xr:uid="{003F005E-0081-4A61-8D91-000B00FD001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69" authorId="120" xr:uid="{00B4000D-00F0-43F4-90DA-00BB001C00A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69" authorId="121" xr:uid="{007E00DD-0041-43EE-A33A-008B0007003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0" authorId="122" xr:uid="{003F006B-0069-467D-A41D-00800091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0" authorId="123" xr:uid="{00DE00EC-0082-49C2-BCFA-00F3007300A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8" authorId="124" xr:uid="{00690045-000C-48F8-A4B9-0027002D008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8" authorId="125" xr:uid="{0051009E-0038-48FC-97DD-001D00E900F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1" authorId="126" xr:uid="{000400A6-0049-4A53-87CB-001100C800E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1" authorId="127" xr:uid="{00A20074-00A0-4FBB-858A-005B008F00F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2" authorId="128" xr:uid="{00130014-0070-432D-BBFC-00BB006D00F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2" authorId="129" xr:uid="{00AF00D2-0026-47E5-8F26-00D2004B00C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3" authorId="130" xr:uid="{00E60019-0071-40F3-B6EA-0007007600E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3" authorId="131" xr:uid="{00C100BB-0089-4E18-96DC-005200C5009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4" authorId="132" xr:uid="{0008009F-004D-418A-B717-00820074005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4" authorId="133" xr:uid="{00CC0041-00BD-4C74-BAB6-00B700A2001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5" authorId="134" xr:uid="{00DE002F-0080-4B74-A659-00E700D4005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5" authorId="135" xr:uid="{0055008D-005F-431D-B6A6-005A0070000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6" authorId="136" xr:uid="{000C0091-00C8-4C73-86C4-002E0043007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6" authorId="137" xr:uid="{00210007-004C-4171-86E2-00D400FC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7" authorId="138" xr:uid="{007800CE-0021-4986-82AE-009000AF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7" authorId="139" xr:uid="{0036005A-00A1-4613-B7DE-00FD005300D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8" authorId="140" xr:uid="{00460030-00C9-4EEE-BCAB-0087004400F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8" authorId="141" xr:uid="{00D7006D-00BB-4EE3-B64F-00EF00C1009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79" authorId="142" xr:uid="{00DC0040-003C-402E-9F8F-00CB006F008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79" authorId="143" xr:uid="{008B006B-0037-4902-9F2D-000300D5008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80" authorId="144" xr:uid="{00DF00C6-0038-4806-AE73-005400DE006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80" authorId="145" xr:uid="{001600BB-00F2-40D2-8FAA-00D1005A00B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9" authorId="146" xr:uid="{00FE0099-00FD-4AC0-B5C3-005F0078003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9" authorId="147" xr:uid="{00050039-00D8-4747-9D98-0042002D009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81" authorId="148" xr:uid="{003300CB-00B9-4876-94A8-005E007C004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81" authorId="149" xr:uid="{007D0008-0008-41F3-B53D-0033005D009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  <comment ref="B82" authorId="150" xr:uid="{00A500B8-0080-4F65-BD9C-0011003F004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>
        </r>
      </text>
    </comment>
    <comment ref="E82" authorId="151" xr:uid="{00340078-00FE-4AED-86B3-00560055009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tc={0059004F-007A-4603-BA16-00AE001E00F6}</author>
    <author>tc={00D70005-0000-41F9-A43A-00340024000E}</author>
    <author>tc={00710018-002A-4D3F-BFA2-004A00510034}</author>
    <author>tc={009500E4-0056-45E0-95CF-00F00025006A}</author>
    <author>tc={007800D7-008D-4159-ADBF-00FB008200E3}</author>
    <author>tc={008E00F5-00F7-491E-A277-009500320088}</author>
    <author>tc={00140055-0061-4713-8981-00BB005F0074}</author>
    <author>tc={008600A1-00BE-4214-A967-00BD00190078}</author>
    <author>tc={0029009A-00A2-4A6E-803C-00C200D40097}</author>
    <author>tc={00830091-00C9-4664-9A15-004100E7008A}</author>
    <author>tc={00DD00EF-008E-4EAB-B788-0089000E003E}</author>
    <author>tc={00C800AE-0075-4AEE-8434-003900E80051}</author>
    <author>tc={009500DE-00A2-4E4B-9D38-00C9007A0099}</author>
    <author>tc={00DB0021-005F-43D3-A7B9-00FF00AB009D}</author>
    <author>tc={00F5002F-009A-4B0E-B762-007B00C6001A}</author>
    <author>tc={00820053-0064-4475-84DC-002C00FB007F}</author>
    <author>tc={00E300EC-0073-4DF6-B45A-00D900DE0071}</author>
    <author>tc={00C100ED-00A1-4F74-AC0E-009900E60048}</author>
    <author>tc={0084005D-006B-4744-BAB5-005A00EF0090}</author>
    <author>tc={00DD00D8-0073-46B1-8E07-005E00B9008A}</author>
    <author>tc={003C000C-00FF-4E79-B948-00B9006600A8}</author>
    <author>tc={005B003C-0077-4B4E-8BBA-00D500000014}</author>
    <author>tc={00B100C1-00EB-4256-B728-00EE00F10029}</author>
    <author>tc={00000084-008B-4DAB-865E-0097008900F8}</author>
    <author>tc={00C80085-002C-48DC-A3AB-0033007C00C5}</author>
    <author>tc={00D10058-00CA-4D69-AF67-007C00610088}</author>
    <author>tc={00A500A2-0000-4F4B-A666-00FF0034006C}</author>
    <author>tc={001300A0-0092-496A-9888-009E00D50053}</author>
    <author>tc={00AE00A1-00E4-4A25-AF2E-000D00870050}</author>
    <author>tc={004C0087-0080-4FCE-83B9-00560071002C}</author>
    <author>tc={0088004A-0094-452B-8616-0055002100E2}</author>
    <author>tc={00400074-0072-4DF6-B32E-003C00040022}</author>
    <author>tc={001700A6-000E-435E-9B75-001000EF00D2}</author>
    <author>tc={00F40012-0083-4084-B95D-002A00990088}</author>
    <author>tc={008100FF-008E-4EFF-97DE-00B7001E0011}</author>
    <author>tc={00AD0048-0011-4358-88F9-0039007E00EE}</author>
    <author>tc={002A00DD-0092-498E-AC2A-0004001B00D2}</author>
    <author>tc={00F00041-00B9-4193-84F6-00C2003F0025}</author>
    <author>tc={00B8000A-00D6-4BCE-A169-00EF00940083}</author>
    <author>tc={00820064-0059-4597-908E-005D00AA003E}</author>
    <author>tc={0010008E-0058-45BE-A8F3-00B1007500D8}</author>
    <author>tc={0069005B-000C-4904-9F31-00E400CD008A}</author>
    <author>tc={005600B3-0054-4EA0-AC5E-00C300EC00C0}</author>
    <author>tc={00E8000F-0030-44BB-8497-006F00F2009A}</author>
    <author>tc={00F00001-0047-44F5-9D7B-00DE0064006C}</author>
    <author>tc={008600AA-0063-40DE-84B3-005900A9003F}</author>
    <author>tc={00830041-00F0-4E7D-8663-00FC008C004E}</author>
    <author>tc={00070093-0080-44CD-A3BA-003900BD008A}</author>
    <author>tc={00F3007D-0049-483B-996A-005500500017}</author>
    <author>tc={00700074-00A5-4729-B624-00E8003D00CD}</author>
    <author>tc={006600FE-0092-466E-8122-006200DE00B7}</author>
    <author>tc={00060036-0030-4DD4-B0A3-008100740097}</author>
    <author>tc={0041004C-0045-4498-B065-00DC00A10060}</author>
    <author>tc={004E0002-00BC-4DEE-B82C-005B00EF00BB}</author>
    <author>tc={00280030-0022-457A-B244-00BC00480083}</author>
    <author>tc={000D0041-0028-4BD8-B1F5-0010007D0048}</author>
    <author>tc={000100B4-0024-4315-BA15-003C00C000D0}</author>
    <author>tc={0049009C-008F-4B34-9375-007900290091}</author>
    <author>tc={00F00020-0088-4EAA-B36E-00D400340038}</author>
    <author>tc={004600FC-0050-4EE2-B25D-00AE00410026}</author>
    <author>tc={005C00FE-00CC-40B9-9222-003D001300ED}</author>
    <author>tc={00890089-0006-4903-94A4-0009005200D8}</author>
    <author>tc={00E70016-00AC-4905-A249-007000090060}</author>
    <author>tc={00D700AE-0090-4AF8-8080-0022002800B8}</author>
    <author>tc={00790071-0026-4E8D-9837-00A600030042}</author>
    <author>tc={00350013-0009-4563-8C64-00D400D10017}</author>
    <author>tc={00350059-0076-4F93-A07E-0059002F0082}</author>
    <author>tc={00E800A0-00D0-4825-AF05-0036009B0086}</author>
    <author>tc={00810057-001A-4197-AFF8-004100F90054}</author>
    <author>tc={00750080-0080-425D-8F5B-00A2001000D6}</author>
    <author>tc={00010033-00CF-415C-93B5-0057000E0027}</author>
    <author>tc={00A2001B-00F8-426E-9498-00B000000018}</author>
    <author>tc={009B00F6-0091-42E1-810E-00D4005B00AD}</author>
    <author>tc={00730019-0053-45F8-B631-003A0076009D}</author>
    <author>tc={007300EA-009D-4169-A596-0031000E00D6}</author>
    <author>tc={002C0065-00F0-49DD-8BDD-005900C000F7}</author>
    <author>tc={00F00098-0071-4F73-B722-0028009200D4}</author>
    <author>tc={00540026-006B-4A3D-9D8E-0066006B00F5}</author>
    <author>tc={00B500C7-00CA-46C1-83C8-00B100970017}</author>
    <author>tc={00AF00C6-00A0-4279-B37D-00F9004400AA}</author>
    <author>tc={00A70083-00A4-4853-81DD-000500070051}</author>
    <author>tc={004300EF-00AE-4D32-A61C-00EC00570065}</author>
    <author>tc={00EC0012-003C-4C6C-9FF5-009D00110072}</author>
    <author>tc={00530088-00F0-444A-AE21-005800F300B9}</author>
    <author>tc={00E900FF-0010-428B-94E5-0032002100AD}</author>
    <author>tc={006600BB-0005-40E1-B482-009500A30076}</author>
    <author>tc={00430013-00DD-4173-AFC2-00BE00E40070}</author>
    <author>tc={003F00F2-00C9-4B59-A272-003D003400AD}</author>
    <author>tc={00DE0056-009F-4723-A7E1-00790047006F}</author>
    <author>tc={00E500D4-0058-4B52-B167-002900B500AE}</author>
    <author>tc={00E00012-0093-48DD-ACD9-00DC00780098}</author>
    <author>tc={009C004B-0011-47AD-BB15-00720071000C}</author>
    <author>tc={00AD00CE-0038-4321-B67D-00A000E3001F}</author>
    <author>tc={00E90080-0090-468C-8972-007000F60098}</author>
    <author>tc={00EB0056-0048-49B2-94E0-00BF00350073}</author>
    <author>tc={009100DC-00B2-4D4E-A6B3-00BD00110061}</author>
    <author>tc={007F00B1-00C2-478F-805C-0070005C0045}</author>
    <author>tc={009A0008-0093-4097-AD4E-003200CE00B9}</author>
    <author>tc={008D0028-00E3-4EFA-A982-002E00840087}</author>
    <author>tc={004700ED-0092-4445-97F6-00E7007C0031}</author>
    <author>tc={007B0045-0027-4974-8929-00B1001A006A}</author>
    <author>tc={001F00B4-004B-4B7B-91A2-003600A6009B}</author>
    <author>tc={00ED00D0-004C-47BE-B067-00F200CB005F}</author>
    <author>tc={00E600C5-009B-4899-8584-00B800190006}</author>
    <author>tc={00CA00D3-004E-41D9-988E-002B00850015}</author>
    <author>tc={00A100CB-009F-4D40-AF15-004500E400C5}</author>
    <author>tc={00350096-006B-4706-B333-00D300730080}</author>
    <author>tc={009500AE-00B3-4A52-AA06-00F700520067}</author>
    <author>tc={009300A2-001F-4DC5-BA2E-00A5000500CF}</author>
    <author>tc={00470097-0076-4FEF-824F-002700F200BF}</author>
    <author>tc={008A00C1-0028-43D8-BF92-009900E50074}</author>
    <author>tc={007C00EE-00C4-4D79-8424-006E008E00DD}</author>
    <author>tc={00FF00FC-0082-4E40-BDB5-00E90002001F}</author>
    <author>tc={003A005E-00BA-4190-8BF9-00A400360012}</author>
    <author>tc={0016009B-006B-493E-A72B-000C008800C2}</author>
    <author>tc={00C400CE-00B5-4A15-9684-00E3003600EF}</author>
    <author>tc={00360027-005F-4853-B6C9-00BD00E4008D}</author>
    <author>tc={00A10069-0052-4429-90BA-0083001A0045}</author>
    <author>tc={0001006A-001C-463F-BFA5-00F400C300F2}</author>
    <author>tc={00950096-006E-4C2E-A7D2-001F00B00025}</author>
    <author>tc={005F006C-009E-4504-BD13-00EA001300A1}</author>
    <author>tc={00A50000-0026-4DC4-993C-008E000400E0}</author>
    <author>tc={00730077-0023-4DE3-A2A8-00180000008C}</author>
    <author>tc={0016008E-00D7-43CD-82B1-00EA00650007}</author>
    <author>tc={00A20013-0027-415D-AC3A-003800F700E4}</author>
    <author>tc={006E006A-001E-4868-B224-008B005E006B}</author>
    <author>tc={0093000A-0068-4733-ADDD-004100A60019}</author>
    <author>tc={007000FE-00D8-44F8-B5CC-000B00BD001E}</author>
    <author>tc={00280064-00E2-4E66-A3E6-006E00F800DD}</author>
    <author>tc={002300F1-0022-421E-AC1E-0043008F006F}</author>
    <author>tc={0089006B-00D3-4D36-82EA-0037001D0021}</author>
    <author>tc={00CA002D-0059-47BA-93CC-004C002100F1}</author>
    <author>tc={001900A7-00B8-4126-87C0-0056007F0015}</author>
    <author>tc={00EC00DB-001A-4CED-9BCE-007E00FF0074}</author>
    <author>tc={007E00E1-004D-4EF5-877B-00C200CC002A}</author>
    <author>tc={004D0064-0042-4818-B356-007300F70008}</author>
    <author>tc={009D0023-008F-42A5-BF71-00B600F20012}</author>
    <author>tc={00F20071-00EE-4EDD-99DC-000400160000}</author>
    <author>tc={009A00B5-00BC-4F76-A535-00AA001D00BE}</author>
    <author>tc={002100EB-007B-461C-AF14-004900A800EC}</author>
    <author>tc={00DA0021-0051-4FEB-B69E-005700BB005E}</author>
    <author>tc={005D00FB-0086-41F6-82F4-009C003C009D}</author>
    <author>tc={00040030-000A-45C3-89BF-00B600770064}</author>
    <author>tc={006D000A-00EC-45CD-A5AE-0096009D0024}</author>
    <author>tc={00FB00E9-00E4-4A01-9CF1-000100400081}</author>
    <author>tc={005500C1-00CA-4441-B7BB-001000D900D2}</author>
    <author>tc={00E50097-001D-4CE4-A6C5-00B0004200A5}</author>
    <author>tc={00590009-007E-4F33-B9CC-0022003D0038}</author>
    <author>tc={002600C3-0032-45EE-A610-007B00EB0001}</author>
    <author>tc={0001000A-00A3-47C5-9CD9-002600550027}</author>
    <author>tc={00640035-00DF-43DF-B1EB-005E00E70007}</author>
    <author>tc={000F002F-0017-4E57-9214-00B400EF00B1}</author>
    <author>tc={008400F7-0021-4CBA-89A8-008F00230068}</author>
    <author>tc={00890020-00F7-428A-9AF6-00A700180025}</author>
    <author>tc={00AA0051-0036-4DBE-A4DA-008800CC0014}</author>
    <author>tc={00B400C5-00A0-4340-9932-0016001D0016}</author>
    <author>tc={003C00CC-009B-4B6E-835B-0003004F003D}</author>
    <author>tc={00160049-00B0-4E99-9EBC-005A008A0053}</author>
    <author>tc={00DE0032-000C-4189-BD3D-00F8005A0054}</author>
    <author>tc={00730013-0002-41F6-BDC9-000E002E00EF}</author>
    <author>tc={0076008B-0087-4310-92D3-00A000D90009}</author>
    <author>tc={00D000CE-00B4-49F9-98D1-00090014003A}</author>
    <author>tc={00290021-0048-4A46-BCB8-007500F9004E}</author>
    <author>tc={00720061-0023-4282-B284-0065008A00C5}</author>
    <author>tc={005C007D-00CC-48AB-BBBA-002E00280053}</author>
    <author>tc={00DE00F7-00ED-46B2-BDDC-007A001C0060}</author>
    <author>tc={00B30066-00D2-46FF-A8F3-00C60012008A}</author>
    <author>tc={00D900F7-00ED-40EB-AE0C-00E30099001E}</author>
    <author>tc={001300E7-0054-4544-85B7-007500A400A3}</author>
    <author>tc={0068000B-0041-4ACD-8689-0076000C004F}</author>
    <author>tc={00A30049-0092-4ABB-8B99-00B4000B0090}</author>
    <author>tc={00D1001C-0047-4D39-AB06-004F00C20085}</author>
    <author>tc={00C60014-0006-45E5-BC70-003C00B50081}</author>
    <author>tc={00980054-009A-4051-AF7C-00C5004A008F}</author>
    <author>tc={00210012-0070-4C83-B251-0007004E00E9}</author>
    <author>tc={0082001A-0018-4B75-A81D-00720070007F}</author>
    <author>tc={009B004B-00CA-4B95-AF90-004D00C30076}</author>
    <author>tc={00940018-00DF-4546-B95F-002F004000A6}</author>
    <author>tc={00570008-0054-475E-AEC2-00870041001C}</author>
    <author>tc={00130037-004A-43A6-A7F7-001500080096}</author>
    <author>tc={00BA00D3-0088-4B5D-B2BD-006E00360009}</author>
    <author>tc={008400A0-00F8-4BB5-A8D9-007C0054001E}</author>
    <author>tc={006B0074-0026-4A54-9695-00FB004E00B1}</author>
    <author>tc={00AC00BC-00C4-41D4-B13C-00FE00F30051}</author>
    <author>tc={004C00F5-0028-4E43-9DA0-0068007600C3}</author>
    <author>tc={00910034-00CC-49A5-8695-007300F0007F}</author>
    <author>tc={0085009E-00CE-486D-8371-002D00DC0030}</author>
    <author>tc={007700F1-006E-4607-8E96-00F600990038}</author>
    <author>tc={007900F9-0093-4152-8BE0-000300EB002B}</author>
    <author>tc={00E3001B-0045-491E-9F36-00DE007B004F}</author>
    <author>tc={00CE00CE-0034-48B2-92FF-00E300520022}</author>
    <author>tc={0099001D-0030-4448-8EAA-00C4006200D4}</author>
    <author>tc={00680027-00AF-458F-9D25-000600FE00C9}</author>
    <author>tc={00A1009F-004A-4828-8368-0083005D0018}</author>
    <author>tc={006D004C-0040-462A-A6E8-00E6001A000F}</author>
    <author>tc={003D0089-00F2-449E-8422-003200B700AC}</author>
    <author>tc={004200C6-0065-4004-B519-003B00150025}</author>
    <author>tc={00F30006-00C4-48CC-87D1-002A00FD0061}</author>
    <author>tc={008B005F-00DB-4FDD-A4D0-00FE009B007D}</author>
    <author>tc={0089007E-009C-4312-85A6-000600FE0049}</author>
    <author>tc={002E0020-009E-49B8-BB62-0068009A00C8}</author>
    <author>tc={00020099-0099-4111-8519-009D00C500B3}</author>
    <author>tc={00500051-00EB-48D4-B663-00F2003D00F6}</author>
    <author>tc={00A50042-0016-4FAB-ADDE-000900A10031}</author>
    <author>tc={0055007B-0040-4FB3-9BA9-005600F30039}</author>
    <author>tc={00F600A0-00B2-4B00-97E8-00A3001C0095}</author>
    <author>tc={00E30068-0059-4816-8946-008C00680001}</author>
    <author>tc={00BA001D-0048-4E71-9B6F-0003000600EE}</author>
    <author>tc={00DF0020-0034-42FE-8595-00CD008A0000}</author>
    <author>tc={00F70063-00F7-449F-A0E8-0003006A008F}</author>
    <author>tc={006D00ED-000E-48AB-8F24-009200840027}</author>
    <author>tc={00F00059-001B-476C-B107-00BC00970008}</author>
    <author>tc={00F30057-0063-48A0-ACCE-009500C500A6}</author>
    <author>tc={002B0029-0050-4FF8-84C0-008600180029}</author>
    <author>tc={00150027-00F1-499C-BDA3-00CD00F900EE}</author>
    <author>tc={006E003D-0075-46A5-9548-00FB00BA0005}</author>
    <author>tc={00B90068-00B4-49A1-88FC-0075000E00B2}</author>
    <author>tc={00BD003C-00A6-4313-AC16-00F4008C00EC}</author>
    <author>tc={00040060-00E9-4DF0-8E6D-0005003000E1}</author>
    <author>tc={005D0010-0040-4C23-B2DD-008A00D9006F}</author>
    <author>tc={005A009A-000E-430A-95CA-003600CC00AC}</author>
    <author>tc={00D300E2-00DF-47F6-8394-0015002F005F}</author>
    <author>tc={006100DE-00E0-4CAF-BF28-0002008F0085}</author>
    <author>tc={00E4001B-0062-4BEE-B86F-002F005B00CD}</author>
    <author>tc={00FE0036-005B-45E2-92DB-00A00066001C}</author>
    <author>tc={00960064-00E5-4CAB-BBE3-00B00069000B}</author>
    <author>tc={005500EB-00BD-40E2-917B-008B007F0064}</author>
    <author>tc={002C00A6-00C5-4E0F-98A3-00B300A800A8}</author>
    <author>tc={00CC0084-0082-4731-83DB-007B0046008B}</author>
    <author>tc={002D000A-009E-433A-89A8-008F00A30076}</author>
    <author>tc={000800CD-0068-4990-8B11-006A00690005}</author>
    <author>tc={005D00F8-004F-4E8D-8A24-00DD00280087}</author>
    <author>tc={00ED00CC-006B-4FFF-B071-008F00D30081}</author>
    <author>tc={00C0001B-00F4-41A9-A58D-00780043002A}</author>
    <author>tc={00A100CC-00C8-49C1-B590-006500B300F0}</author>
    <author>tc={009E005B-00EA-4D70-8798-0077004300F2}</author>
    <author>tc={00890056-00FE-4D55-A443-00A400750084}</author>
    <author>tc={007900E1-00CE-4202-8C39-003400B300AF}</author>
    <author>tc={00490032-00C7-487D-9EA1-004500C700AE}</author>
    <author>tc={00170015-007D-4EC1-8FA7-004700610071}</author>
    <author>tc={00C70069-0023-403A-AEFC-00810094001E}</author>
    <author>tc={007E00A2-0013-424D-BE56-008B0059008B}</author>
    <author>tc={00270045-004C-40CD-97EB-00D1000B00C6}</author>
    <author>tc={00F1006F-00EF-4A87-A4F9-001700EA008D}</author>
    <author>tc={00CF004F-00C2-4DB7-A441-00EF009800D6}</author>
    <author>tc={00F700A7-00AD-4490-8088-0044009F0048}</author>
    <author>tc={0064004F-0040-41B8-B716-00D300E900C0}</author>
    <author>tc={005400B1-002A-4CCA-8E37-00AD004600CD}</author>
    <author>tc={00CA004E-00C3-4ED3-9BBD-00B600EA0034}</author>
    <author>tc={000D0038-0083-4ED5-9B7C-002900EC006D}</author>
    <author>tc={00270096-0089-4E47-95CC-001100C80025}</author>
    <author>tc={00670023-0015-4592-960A-00D100DD00BA}</author>
    <author>tc={00E000AF-000E-4096-B116-009E00F000C1}</author>
    <author>tc={00E7009C-007D-4B23-9BD6-000000A70083}</author>
    <author>tc={00990063-0010-4D81-91B2-0055000F007B}</author>
    <author>tc={0053000D-0098-48E8-8B18-004D001700DA}</author>
    <author>tc={003800BA-008B-4408-83F6-006F00130004}</author>
    <author>tc={00AF001D-0083-4783-9241-0092003A0011}</author>
    <author>tc={00E100FD-00BD-4A6E-8C74-00650028004D}</author>
    <author>tc={003F00B6-009B-4ED3-8009-00E8005D00B8}</author>
    <author>tc={00FB00B6-0023-4E32-B801-00F000BB0086}</author>
    <author>tc={008A0001-007D-45FB-9362-00A7000C009F}</author>
    <author>tc={002900AE-0079-4416-ABB6-0009007A0020}</author>
    <author>tc={00540067-0006-435C-8B85-0069001500D9}</author>
    <author>tc={005000ED-00BC-481B-B4E4-00EA005100CD}</author>
    <author>tc={00A20091-0053-4C96-B7E5-0007008500B6}</author>
    <author>tc={009600BC-002A-4D82-9921-000B006D007E}</author>
    <author>tc={00BA0068-00C1-468A-8835-009900A900C7}</author>
    <author>tc={006000A5-003F-4ECB-A643-0025003B0063}</author>
    <author>tc={001F0015-00EE-4559-9C6D-0079000D00DD}</author>
    <author>tc={00520070-00B9-4DB9-825D-0032006900EE}</author>
    <author>tc={00980001-00B5-4C65-94C1-0040007F0009}</author>
    <author>tc={00520027-0095-434B-BBC8-006900E300D0}</author>
    <author>tc={002900D5-0034-4E4E-A1A5-00C6000C009C}</author>
    <author>tc={00850012-000F-4FC3-9915-004500D600F9}</author>
    <author>tc={0016007A-00C8-4CF5-93D0-002600010027}</author>
    <author>tc={004F00BB-00A4-4AA2-A91A-007E00AF009A}</author>
    <author>tc={00E60018-000E-497C-AC36-00B600EA007B}</author>
    <author>tc={005600EA-0012-42A9-92ED-000D001C0025}</author>
  </authors>
  <commentList>
    <comment ref="C11" authorId="0" xr:uid="{0059004F-007A-4603-BA16-00AE001E00F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1" authorId="1" xr:uid="{00D70005-0000-41F9-A43A-00340024000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1" authorId="2" xr:uid="{00710018-002A-4D3F-BFA2-004A0051003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2" authorId="3" xr:uid="{009500E4-0056-45E0-95CF-00F00025006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2" authorId="4" xr:uid="{007800D7-008D-4159-ADBF-00FB008200E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2" authorId="5" xr:uid="{008E00F5-00F7-491E-A277-00950032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3" authorId="6" xr:uid="{00140055-0061-4713-8981-00BB005F007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3" authorId="7" xr:uid="{008600A1-00BE-4214-A967-00BD0019007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3" authorId="8" xr:uid="{0029009A-00A2-4A6E-803C-00C200D4009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4" authorId="9" xr:uid="{00830091-00C9-4664-9A15-004100E7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4" authorId="10" xr:uid="{00DD00EF-008E-4EAB-B788-0089000E003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4" authorId="11" xr:uid="{00C800AE-0075-4AEE-8434-003900E8005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5" authorId="12" xr:uid="{009500DE-00A2-4E4B-9D38-00C9007A009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5" authorId="13" xr:uid="{00DB0021-005F-43D3-A7B9-00FF00AB009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5" authorId="14" xr:uid="{00F5002F-009A-4B0E-B762-007B00C6001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6" authorId="15" xr:uid="{00820053-0064-4475-84DC-002C00FB007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6" authorId="16" xr:uid="{00E300EC-0073-4DF6-B45A-00D900DE007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6" authorId="17" xr:uid="{00C100ED-00A1-4F74-AC0E-009900E6004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7" authorId="18" xr:uid="{0084005D-006B-4744-BAB5-005A00EF009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7" authorId="19" xr:uid="{00DD00D8-0073-46B1-8E07-005E00B9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7" authorId="20" xr:uid="{003C000C-00FF-4E79-B948-00B9006600A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8" authorId="21" xr:uid="{005B003C-0077-4B4E-8BBA-00D50000001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8" authorId="22" xr:uid="{00B100C1-00EB-4256-B728-00EE00F1002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8" authorId="23" xr:uid="{00000084-008B-4DAB-865E-0097008900F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9" authorId="24" xr:uid="{00C80085-002C-48DC-A3AB-0033007C00C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9" authorId="25" xr:uid="{00D10058-00CA-4D69-AF67-007C0061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9" authorId="26" xr:uid="{00A500A2-0000-4F4B-A666-00FF0034006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0" authorId="27" xr:uid="{001300A0-0092-496A-9888-009E00D5005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0" authorId="28" xr:uid="{00AE00A1-00E4-4A25-AF2E-000D0087005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0" authorId="29" xr:uid="{004C0087-0080-4FCE-83B9-00560071002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1" authorId="30" xr:uid="{0088004A-0094-452B-8616-0055002100E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1" authorId="31" xr:uid="{00400074-0072-4DF6-B32E-003C0004002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1" authorId="32" xr:uid="{001700A6-000E-435E-9B75-001000EF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2" authorId="33" xr:uid="{00F40012-0083-4084-B95D-002A0099008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2" authorId="34" xr:uid="{008100FF-008E-4EFF-97DE-00B7001E001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2" authorId="35" xr:uid="{00AD0048-0011-4358-88F9-0039007E00E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3" authorId="36" xr:uid="{002A00DD-0092-498E-AC2A-0004001B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3" authorId="37" xr:uid="{00F00041-00B9-4193-84F6-00C2003F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3" authorId="38" xr:uid="{00B8000A-00D6-4BCE-A169-00EF0094008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4" authorId="39" xr:uid="{00820064-0059-4597-908E-005D00AA003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4" authorId="40" xr:uid="{0010008E-0058-45BE-A8F3-00B1007500D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4" authorId="41" xr:uid="{0069005B-000C-4904-9F31-00E400CD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5" authorId="42" xr:uid="{005600B3-0054-4EA0-AC5E-00C300EC00C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5" authorId="43" xr:uid="{00E8000F-0030-44BB-8497-006F00F2009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5" authorId="44" xr:uid="{00F00001-0047-44F5-9D7B-00DE0064006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6" authorId="45" xr:uid="{008600AA-0063-40DE-84B3-005900A9003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6" authorId="46" xr:uid="{00830041-00F0-4E7D-8663-00FC008C004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6" authorId="47" xr:uid="{00070093-0080-44CD-A3BA-003900BD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7" authorId="48" xr:uid="{00F3007D-0049-483B-996A-00550050001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7" authorId="49" xr:uid="{00700074-00A5-4729-B624-00E8003D00C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7" authorId="50" xr:uid="{006600FE-0092-466E-8122-006200DE00B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8" authorId="51" xr:uid="{00060036-0030-4DD4-B0A3-00810074009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8" authorId="52" xr:uid="{0041004C-0045-4498-B065-00DC00A1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8" authorId="53" xr:uid="{004E0002-00BC-4DEE-B82C-005B00EF00B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29" authorId="54" xr:uid="{00280030-0022-457A-B244-00BC0048008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29" authorId="55" xr:uid="{000D0041-0028-4BD8-B1F5-0010007D004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29" authorId="56" xr:uid="{000100B4-0024-4315-BA15-003C00C0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0" authorId="57" xr:uid="{0049009C-008F-4B34-9375-00790029009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0" authorId="58" xr:uid="{00F00020-0088-4EAA-B36E-00D40034003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0" authorId="59" xr:uid="{004600FC-0050-4EE2-B25D-00AE0041002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1" authorId="60" xr:uid="{005C00FE-00CC-40B9-9222-003D001300E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1" authorId="61" xr:uid="{00890089-0006-4903-94A4-0009005200D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1" authorId="62" xr:uid="{00E70016-00AC-4905-A249-00700009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2" authorId="63" xr:uid="{00D700AE-0090-4AF8-8080-0022002800B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2" authorId="64" xr:uid="{00790071-0026-4E8D-9837-00A60003004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2" authorId="65" xr:uid="{00350013-0009-4563-8C64-00D400D1001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3" authorId="66" xr:uid="{00350059-0076-4F93-A07E-0059002F008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3" authorId="67" xr:uid="{00E800A0-00D0-4825-AF05-0036009B008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3" authorId="68" xr:uid="{00810057-001A-4197-AFF8-004100F9005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4" authorId="69" xr:uid="{00750080-0080-425D-8F5B-00A20010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4" authorId="70" xr:uid="{00010033-00CF-415C-93B5-0057000E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4" authorId="71" xr:uid="{00A2001B-00F8-426E-9498-00B00000001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5" authorId="72" xr:uid="{009B00F6-0091-42E1-810E-00D4005B00A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5" authorId="73" xr:uid="{00730019-0053-45F8-B631-003A0076009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5" authorId="74" xr:uid="{007300EA-009D-4169-A596-0031000E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6" authorId="75" xr:uid="{002C0065-00F0-49DD-8BDD-005900C000F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6" authorId="76" xr:uid="{00F00098-0071-4F73-B722-0028009200D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6" authorId="77" xr:uid="{00540026-006B-4A3D-9D8E-0066006B00F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7" authorId="78" xr:uid="{00B500C7-00CA-46C1-83C8-00B10097001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7" authorId="79" xr:uid="{00AF00C6-00A0-4279-B37D-00F9004400A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7" authorId="80" xr:uid="{00A70083-00A4-4853-81DD-00050007005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8" authorId="81" xr:uid="{004300EF-00AE-4D32-A61C-00EC0057006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8" authorId="82" xr:uid="{00EC0012-003C-4C6C-9FF5-009D0011007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8" authorId="83" xr:uid="{00530088-00F0-444A-AE21-005800F300B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39" authorId="84" xr:uid="{00E900FF-0010-428B-94E5-0032002100A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39" authorId="85" xr:uid="{006600BB-0005-40E1-B482-009500A3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39" authorId="86" xr:uid="{00430013-00DD-4173-AFC2-00BE00E4007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0" authorId="87" xr:uid="{003F00F2-00C9-4B59-A272-003D003400A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0" authorId="88" xr:uid="{00DE0056-009F-4723-A7E1-00790047006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0" authorId="89" xr:uid="{00E500D4-0058-4B52-B167-002900B5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1" authorId="90" xr:uid="{00E00012-0093-48DD-ACD9-00DC0078009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1" authorId="91" xr:uid="{009C004B-0011-47AD-BB15-00720071000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1" authorId="92" xr:uid="{00AD00CE-0038-4321-B67D-00A000E3001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2" authorId="93" xr:uid="{00E90080-0090-468C-8972-007000F6009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2" authorId="94" xr:uid="{00EB0056-0048-49B2-94E0-00BF0035007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2" authorId="95" xr:uid="{009100DC-00B2-4D4E-A6B3-00BD0011006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3" authorId="96" xr:uid="{007F00B1-00C2-478F-805C-0070005C004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3" authorId="97" xr:uid="{009A0008-0093-4097-AD4E-003200CE00B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3" authorId="98" xr:uid="{008D0028-00E3-4EFA-A982-002E0084008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4" authorId="99" xr:uid="{004700ED-0092-4445-97F6-00E7007C003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4" authorId="100" xr:uid="{007B0045-0027-4974-8929-00B1001A006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4" authorId="101" xr:uid="{001F00B4-004B-4B7B-91A2-003600A6009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5" authorId="102" xr:uid="{00ED00D0-004C-47BE-B067-00F200CB005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5" authorId="103" xr:uid="{00E600C5-009B-4899-8584-00B80019000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5" authorId="104" xr:uid="{00CA00D3-004E-41D9-988E-002B0085001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6" authorId="105" xr:uid="{00A100CB-009F-4D40-AF15-004500E400C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6" authorId="106" xr:uid="{00350096-006B-4706-B333-00D30073008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6" authorId="107" xr:uid="{009500AE-00B3-4A52-AA06-00F70052006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7" authorId="108" xr:uid="{009300A2-001F-4DC5-BA2E-00A5000500C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7" authorId="109" xr:uid="{00470097-0076-4FEF-824F-002700F200B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7" authorId="110" xr:uid="{008A00C1-0028-43D8-BF92-009900E5007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8" authorId="111" xr:uid="{007C00EE-00C4-4D79-8424-006E008E00D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8" authorId="112" xr:uid="{00FF00FC-0082-4E40-BDB5-00E90002001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8" authorId="113" xr:uid="{003A005E-00BA-4190-8BF9-00A40036001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49" authorId="114" xr:uid="{0016009B-006B-493E-A72B-000C008800C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49" authorId="115" xr:uid="{00C400CE-00B5-4A15-9684-00E3003600E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49" authorId="116" xr:uid="{00360027-005F-4853-B6C9-00BD00E4008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0" authorId="117" xr:uid="{00A10069-0052-4429-90BA-0083001A004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0" authorId="118" xr:uid="{0001006A-001C-463F-BFA5-00F400C300F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0" authorId="119" xr:uid="{00950096-006E-4C2E-A7D2-001F00B0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" authorId="120" xr:uid="{005F006C-009E-4504-BD13-00EA001300A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" authorId="121" xr:uid="{00A50000-0026-4DC4-993C-008E000400E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" authorId="122" xr:uid="{00730077-0023-4DE3-A2A8-00180000008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1" authorId="123" xr:uid="{0016008E-00D7-43CD-82B1-00EA0065000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1" authorId="124" xr:uid="{00A20013-0027-415D-AC3A-003800F700E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1" authorId="125" xr:uid="{006E006A-001E-4868-B224-008B005E006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2" authorId="126" xr:uid="{0093000A-0068-4733-ADDD-004100A6001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2" authorId="127" xr:uid="{007000FE-00D8-44F8-B5CC-000B00BD001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2" authorId="128" xr:uid="{00280064-00E2-4E66-A3E6-006E00F800D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3" authorId="129" xr:uid="{002300F1-0022-421E-AC1E-0043008F006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3" authorId="130" xr:uid="{0089006B-00D3-4D36-82EA-0037001D002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3" authorId="131" xr:uid="{00CA002D-0059-47BA-93CC-004C002100F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4" authorId="132" xr:uid="{001900A7-00B8-4126-87C0-0056007F001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4" authorId="133" xr:uid="{00EC00DB-001A-4CED-9BCE-007E00FF007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4" authorId="134" xr:uid="{007E00E1-004D-4EF5-877B-00C200CC002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5" authorId="135" xr:uid="{004D0064-0042-4818-B356-007300F7000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5" authorId="136" xr:uid="{009D0023-008F-42A5-BF71-00B600F2001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5" authorId="137" xr:uid="{00F20071-00EE-4EDD-99DC-00040016000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6" authorId="138" xr:uid="{009A00B5-00BC-4F76-A535-00AA001D00B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6" authorId="139" xr:uid="{002100EB-007B-461C-AF14-004900A800E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6" authorId="140" xr:uid="{00DA0021-0051-4FEB-B69E-005700BB005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7" authorId="141" xr:uid="{005D00FB-0086-41F6-82F4-009C003C009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7" authorId="142" xr:uid="{00040030-000A-45C3-89BF-00B60077006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7" authorId="143" xr:uid="{006D000A-00EC-45CD-A5AE-0096009D002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8" authorId="144" xr:uid="{00FB00E9-00E4-4A01-9CF1-00010040008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8" authorId="145" xr:uid="{005500C1-00CA-4441-B7BB-001000D900D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8" authorId="146" xr:uid="{00E50097-001D-4CE4-A6C5-00B0004200A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59" authorId="147" xr:uid="{00590009-007E-4F33-B9CC-0022003D003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59" authorId="148" xr:uid="{002600C3-0032-45EE-A610-007B00EB000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59" authorId="149" xr:uid="{0001000A-00A3-47C5-9CD9-00260055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0" authorId="150" xr:uid="{00640035-00DF-43DF-B1EB-005E00E7000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0" authorId="151" xr:uid="{000F002F-0017-4E57-9214-00B400EF00B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0" authorId="152" xr:uid="{008400F7-0021-4CBA-89A8-008F0023006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" authorId="153" xr:uid="{00890020-00F7-428A-9AF6-00A70018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" authorId="154" xr:uid="{00AA0051-0036-4DBE-A4DA-008800CC001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" authorId="155" xr:uid="{00B400C5-00A0-4340-9932-0016001D001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1" authorId="156" xr:uid="{003C00CC-009B-4B6E-835B-0003004F003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1" authorId="157" xr:uid="{00160049-00B0-4E99-9EBC-005A008A005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1" authorId="158" xr:uid="{00DE0032-000C-4189-BD3D-00F8005A005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2" authorId="159" xr:uid="{00730013-0002-41F6-BDC9-000E002E00E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2" authorId="160" xr:uid="{0076008B-0087-4310-92D3-00A000D9000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2" authorId="161" xr:uid="{00D000CE-00B4-49F9-98D1-00090014003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3" authorId="162" xr:uid="{00290021-0048-4A46-BCB8-007500F9004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3" authorId="163" xr:uid="{00720061-0023-4282-B284-0065008A00C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3" authorId="164" xr:uid="{005C007D-00CC-48AB-BBBA-002E0028005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4" authorId="165" xr:uid="{00DE00F7-00ED-46B2-BDDC-007A001C006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4" authorId="166" xr:uid="{00B30066-00D2-46FF-A8F3-00C60012008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4" authorId="167" xr:uid="{00D900F7-00ED-40EB-AE0C-00E30099001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5" authorId="168" xr:uid="{001300E7-0054-4544-85B7-007500A400A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5" authorId="169" xr:uid="{0068000B-0041-4ACD-8689-0076000C004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5" authorId="170" xr:uid="{00A30049-0092-4ABB-8B99-00B4000B009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6" authorId="171" xr:uid="{00D1001C-0047-4D39-AB06-004F00C2008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6" authorId="172" xr:uid="{00C60014-0006-45E5-BC70-003C00B5008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6" authorId="173" xr:uid="{00980054-009A-4051-AF7C-00C5004A008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7" authorId="174" xr:uid="{00210012-0070-4C83-B251-0007004E00E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7" authorId="175" xr:uid="{0082001A-0018-4B75-A81D-00720070007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7" authorId="176" xr:uid="{009B004B-00CA-4B95-AF90-004D00C3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8" authorId="177" xr:uid="{00940018-00DF-4546-B95F-002F004000A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8" authorId="178" xr:uid="{00570008-0054-475E-AEC2-00870041001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8" authorId="179" xr:uid="{00130037-004A-43A6-A7F7-00150008009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69" authorId="180" xr:uid="{00BA00D3-0088-4B5D-B2BD-006E0036000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69" authorId="181" xr:uid="{008400A0-00F8-4BB5-A8D9-007C0054001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69" authorId="182" xr:uid="{006B0074-0026-4A54-9695-00FB004E00B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0" authorId="183" xr:uid="{00AC00BC-00C4-41D4-B13C-00FE00F3005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0" authorId="184" xr:uid="{004C00F5-0028-4E43-9DA0-0068007600C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0" authorId="185" xr:uid="{00910034-00CC-49A5-8695-007300F0007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" authorId="186" xr:uid="{0085009E-00CE-486D-8371-002D00DC003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" authorId="187" xr:uid="{007700F1-006E-4607-8E96-00F60099003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" authorId="188" xr:uid="{007900F9-0093-4152-8BE0-000300EB002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1" authorId="189" xr:uid="{00E3001B-0045-491E-9F36-00DE007B004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1" authorId="190" xr:uid="{00CE00CE-0034-48B2-92FF-00E30052002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1" authorId="191" xr:uid="{0099001D-0030-4448-8EAA-00C4006200D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2" authorId="192" xr:uid="{00680027-00AF-458F-9D25-000600FE00C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2" authorId="193" xr:uid="{00A1009F-004A-4828-8368-0083005D001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2" authorId="194" xr:uid="{006D004C-0040-462A-A6E8-00E6001A000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3" authorId="195" xr:uid="{003D0089-00F2-449E-8422-003200B700A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3" authorId="196" xr:uid="{004200C6-0065-4004-B519-003B0015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3" authorId="197" xr:uid="{00F30006-00C4-48CC-87D1-002A00FD006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4" authorId="198" xr:uid="{008B005F-00DB-4FDD-A4D0-00FE009B007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4" authorId="199" xr:uid="{0089007E-009C-4312-85A6-000600FE004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4" authorId="200" xr:uid="{002E0020-009E-49B8-BB62-0068009A00C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5" authorId="201" xr:uid="{00020099-0099-4111-8519-009D00C500B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5" authorId="202" xr:uid="{00500051-00EB-48D4-B663-00F2003D00F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5" authorId="203" xr:uid="{00A50042-0016-4FAB-ADDE-000900A1003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6" authorId="204" xr:uid="{0055007B-0040-4FB3-9BA9-005600F3003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6" authorId="205" xr:uid="{00F600A0-00B2-4B00-97E8-00A3001C009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6" authorId="206" xr:uid="{00E30068-0059-4816-8946-008C0068000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7" authorId="207" xr:uid="{00BA001D-0048-4E71-9B6F-0003000600E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7" authorId="208" xr:uid="{00DF0020-0034-42FE-8595-00CD008A000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7" authorId="209" xr:uid="{00F70063-00F7-449F-A0E8-0003006A008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8" authorId="210" xr:uid="{006D00ED-000E-48AB-8F24-00920084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8" authorId="211" xr:uid="{00F00059-001B-476C-B107-00BC0097000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8" authorId="212" xr:uid="{00F30057-0063-48A0-ACCE-009500C500A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79" authorId="213" xr:uid="{002B0029-0050-4FF8-84C0-00860018002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79" authorId="214" xr:uid="{00150027-00F1-499C-BDA3-00CD00F900E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79" authorId="215" xr:uid="{006E003D-0075-46A5-9548-00FB00BA000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0" authorId="216" xr:uid="{00B90068-00B4-49A1-88FC-0075000E00B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0" authorId="217" xr:uid="{00BD003C-00A6-4313-AC16-00F4008C00E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0" authorId="218" xr:uid="{00040060-00E9-4DF0-8E6D-0005003000E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" authorId="219" xr:uid="{005D0010-0040-4C23-B2DD-008A00D9006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" authorId="220" xr:uid="{005A009A-000E-430A-95CA-003600CC00A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" authorId="221" xr:uid="{00D300E2-00DF-47F6-8394-0015002F005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1" authorId="222" xr:uid="{006100DE-00E0-4CAF-BF28-0002008F008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1" authorId="223" xr:uid="{00E4001B-0062-4BEE-B86F-002F005B00C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1" authorId="224" xr:uid="{00FE0036-005B-45E2-92DB-00A00066001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2" authorId="225" xr:uid="{00960064-00E5-4CAB-BBE3-00B00069000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2" authorId="226" xr:uid="{005500EB-00BD-40E2-917B-008B007F006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2" authorId="227" xr:uid="{002C00A6-00C5-4E0F-98A3-00B300A800A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3" authorId="228" xr:uid="{00CC0084-0082-4731-83DB-007B0046008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3" authorId="229" xr:uid="{002D000A-009E-433A-89A8-008F00A3007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3" authorId="230" xr:uid="{000800CD-0068-4990-8B11-006A0069000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4" authorId="231" xr:uid="{005D00F8-004F-4E8D-8A24-00DD0028008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4" authorId="232" xr:uid="{00ED00CC-006B-4FFF-B071-008F00D3008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4" authorId="233" xr:uid="{00C0001B-00F4-41A9-A58D-00780043002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5" authorId="234" xr:uid="{00A100CC-00C8-49C1-B590-006500B300F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5" authorId="235" xr:uid="{009E005B-00EA-4D70-8798-0077004300F2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5" authorId="236" xr:uid="{00890056-00FE-4D55-A443-00A40075008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6" authorId="237" xr:uid="{007900E1-00CE-4202-8C39-003400B300A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6" authorId="238" xr:uid="{00490032-00C7-487D-9EA1-004500C700A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6" authorId="239" xr:uid="{00170015-007D-4EC1-8FA7-00470061007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7" authorId="240" xr:uid="{00C70069-0023-403A-AEFC-00810094001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7" authorId="241" xr:uid="{007E00A2-0013-424D-BE56-008B0059008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7" authorId="242" xr:uid="{00270045-004C-40CD-97EB-00D1000B00C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8" authorId="243" xr:uid="{00F1006F-00EF-4A87-A4F9-001700EA008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8" authorId="244" xr:uid="{00CF004F-00C2-4DB7-A441-00EF009800D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8" authorId="245" xr:uid="{00F700A7-00AD-4490-8088-0044009F004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89" authorId="246" xr:uid="{0064004F-0040-41B8-B716-00D300E900C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89" authorId="247" xr:uid="{005400B1-002A-4CCA-8E37-00AD004600C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89" authorId="248" xr:uid="{00CA004E-00C3-4ED3-9BBD-00B600EA003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0" authorId="249" xr:uid="{000D0038-0083-4ED5-9B7C-002900EC006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0" authorId="250" xr:uid="{00270096-0089-4E47-95CC-001100C8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0" authorId="251" xr:uid="{00670023-0015-4592-960A-00D100DD00B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10" authorId="252" xr:uid="{00E000AF-000E-4096-B116-009E00F000C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10" authorId="253" xr:uid="{00E7009C-007D-4B23-9BD6-000000A7008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10" authorId="254" xr:uid="{00990063-0010-4D81-91B2-0055000F007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1" authorId="255" xr:uid="{0053000D-0098-48E8-8B18-004D001700D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1" authorId="256" xr:uid="{003800BA-008B-4408-83F6-006F00130004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1" authorId="257" xr:uid="{00AF001D-0083-4783-9241-0092003A0011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2" authorId="258" xr:uid="{00E100FD-00BD-4A6E-8C74-00650028004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2" authorId="259" xr:uid="{003F00B6-009B-4ED3-8009-00E8005D00B8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2" authorId="260" xr:uid="{00FB00B6-0023-4E32-B801-00F000BB008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3" authorId="261" xr:uid="{008A0001-007D-45FB-9362-00A7000C009F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3" authorId="262" xr:uid="{002900AE-0079-4416-ABB6-0009007A002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3" authorId="263" xr:uid="{00540067-0006-435C-8B85-0069001500D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4" authorId="264" xr:uid="{005000ED-00BC-481B-B4E4-00EA005100C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4" authorId="265" xr:uid="{00A20091-0053-4C96-B7E5-0007008500B6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4" authorId="266" xr:uid="{009600BC-002A-4D82-9921-000B006D007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5" authorId="267" xr:uid="{00BA0068-00C1-468A-8835-009900A900C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5" authorId="268" xr:uid="{006000A5-003F-4ECB-A643-0025003B0063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5" authorId="269" xr:uid="{001F0015-00EE-4559-9C6D-0079000D00DD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6" authorId="270" xr:uid="{00520070-00B9-4DB9-825D-0032006900EE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6" authorId="271" xr:uid="{00980001-00B5-4C65-94C1-0040007F000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6" authorId="272" xr:uid="{00520027-0095-434B-BBC8-006900E300D0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7" authorId="273" xr:uid="{002900D5-0034-4E4E-A1A5-00C6000C009C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7" authorId="274" xr:uid="{00850012-000F-4FC3-9915-004500D600F9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7" authorId="275" xr:uid="{0016007A-00C8-4CF5-93D0-002600010027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  <comment ref="C98" authorId="276" xr:uid="{004F00BB-00A4-4AA2-A91A-007E00AF009A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>
        </r>
      </text>
    </comment>
    <comment ref="D98" authorId="277" xr:uid="{00E60018-000E-497C-AC36-00B600EA007B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>
        </r>
      </text>
    </comment>
    <comment ref="F98" authorId="278" xr:uid="{005600EA-0012-42A9-92ED-000D001C0025}">
      <text>
        <r>
          <rPr>
            <b/>
            <sz val="9"/>
            <rFont val="Tahoma"/>
          </rPr>
          <t>admin:</t>
        </r>
        <r>
          <rPr>
            <sz val="9"/>
            <rFont val="Tahoma"/>
          </rPr>
          <t xml:space="preserve">
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>
        </r>
      </text>
    </comment>
  </commentList>
</comments>
</file>

<file path=xl/sharedStrings.xml><?xml version="1.0" encoding="utf-8"?>
<sst xmlns="http://schemas.openxmlformats.org/spreadsheetml/2006/main" count="427" uniqueCount="427">
  <si>
    <t xml:space="preserve">Уважаемые коллеги! Внимательно читаем инструкцию перед началом заполнения плана. </t>
  </si>
  <si>
    <t xml:space="preserve">В формах имеются подсказки по заполнению в виде примечаний и комментариев в скобках в наименовании граф. В случае обнаружения ошибок в формулах, Убедительная просьба, формулы самостоятельно </t>
  </si>
  <si>
    <t xml:space="preserve">не удалять и не редактировать. </t>
  </si>
  <si>
    <t xml:space="preserve">Форма "План информатизации" (титул)</t>
  </si>
  <si>
    <t xml:space="preserve">1. Наименование органа исполнительной власти выбирается из выпадающего списка. Код ГРБС проставляется автоматически</t>
  </si>
  <si>
    <t xml:space="preserve">2. В графе "Вид плана" выбирается значение из выпадающего списка. При первом заполнении форм выбирается значение "Предварительный"</t>
  </si>
  <si>
    <t xml:space="preserve">3. В графе "Номер изменений" выбирается номер из выпадающего списка в случае выбора в графе "Вид плана" значение "Измененный"</t>
  </si>
  <si>
    <t xml:space="preserve">4. В графе "Подведомственность" устанавливается признак "подведомсвтенный (сводный)" в случае представления плана информатизации по подведомственным учреждениям.</t>
  </si>
  <si>
    <t xml:space="preserve">В уполномоченный орган представляется сводный план мероприятий по всем подведомственным учреждениям органа исполнительной власти. В случае если у органа исполнительной власти нет подведомственных</t>
  </si>
  <si>
    <t xml:space="preserve">учреждений, графа не заполняется.</t>
  </si>
  <si>
    <t xml:space="preserve">Далее последовательно заполняются остальные формы. </t>
  </si>
  <si>
    <t xml:space="preserve">5. После заполнения всех форм, необходимо вернуться к титульной странице и сформировать план информатизации:</t>
  </si>
  <si>
    <t xml:space="preserve">в графе "Уникальный номер мероприятия" выбрать номера мероприятий, соответствующих типов и приоритетности (в первом блоке выбираются мероприятия, направленные на создание объектов учета и </t>
  </si>
  <si>
    <t xml:space="preserve">соответствующие приоритетным направлениям, далее - мероприятия, не являющиеся приоритетными и направленные на создание объектов учета. И так далее, по каждому из типов мероприятий).</t>
  </si>
  <si>
    <t xml:space="preserve">Остальные значения будут заполняться автоматически при условии правильного заполнения всех разделов плана. В случае появления ошибок типа #Н/Д или #ЗНАЧ - проверить правильность заполнения</t>
  </si>
  <si>
    <t xml:space="preserve">разделов плана</t>
  </si>
  <si>
    <t xml:space="preserve">В случае если  в каком-то из блоков будет недостаточно строк, необходимо перед строкой "Итого…" вставить новую строку и отформатировать ее как строку выше, либо встваить строку между последней и предпоследней строками блока.</t>
  </si>
  <si>
    <t xml:space="preserve">Раздел 1. "Ощие сведения"</t>
  </si>
  <si>
    <t xml:space="preserve">1. Графа "Наименование органа…" заполняется в случае направления в уполномоченный орган информации об отдельном мероприятии по информатизации. Если информация о мероприятиях вносится в рамках
</t>
  </si>
  <si>
    <t xml:space="preserve">подготовки плана информатизации, графа не заполняется, наименование органа исполнительной власти выбирается на титульной странице.</t>
  </si>
  <si>
    <t xml:space="preserve">2. Графа "Наименование объекта учета" - наименование объекта учета (ИС, компонента ИТКИ и т.д.) заполняется в соответствии с документом о создании объекта (вводе объекта в эксплутацию или иного </t>
  </si>
  <si>
    <t xml:space="preserve">документа-основания, содержащего официальное название объекта, подлежащего учету)</t>
  </si>
  <si>
    <t xml:space="preserve">3. Графа "Идентификатор объекта учета" в виду неработоспособности системы учета не заполняется.</t>
  </si>
  <si>
    <t xml:space="preserve">4. Графа "Статус состояния объекта учета" - выбирается из выпадающего списка из следующих значений:</t>
  </si>
  <si>
    <t xml:space="preserve">подготовка к созданию</t>
  </si>
  <si>
    <t>разработка</t>
  </si>
  <si>
    <t xml:space="preserve">опытная эксплуатация</t>
  </si>
  <si>
    <t>эксплуатация</t>
  </si>
  <si>
    <t xml:space="preserve">выведен из эксплуатации</t>
  </si>
  <si>
    <t xml:space="preserve">5. Графа "Тип мероприятия" - указывается тип планируемого мероприятия с объектом учета. Выбирается из выпадающего списка одно из следующих значений:</t>
  </si>
  <si>
    <t>Создание</t>
  </si>
  <si>
    <t>Развитие</t>
  </si>
  <si>
    <t>Эксплуатация</t>
  </si>
  <si>
    <t xml:space="preserve">Вывод из эксплуатации</t>
  </si>
  <si>
    <t xml:space="preserve">6. Графа "Наименование мероприятия" - формируется автоматически на основании наименования объекта учета и выбранного типа мероприятия</t>
  </si>
  <si>
    <r>
      <t xml:space="preserve">7. Графа "Уникальный номер мероприятия" автоматически формируется по маске: </t>
    </r>
    <r>
      <rPr>
        <b/>
        <sz val="11"/>
        <color indexed="2"/>
        <rFont val="Calibri"/>
        <scheme val="minor"/>
      </rPr>
      <t>GGG.T.NNN</t>
    </r>
    <r>
      <rPr>
        <sz val="11"/>
        <color indexed="2"/>
        <rFont val="Calibri"/>
        <scheme val="minor"/>
      </rPr>
      <t xml:space="preserve">, где</t>
    </r>
  </si>
  <si>
    <t xml:space="preserve">GGG - код ГРБС (заполняется автоматически при выборе на титульной странице органа исполнительной власти)</t>
  </si>
  <si>
    <t xml:space="preserve">Т - тип мероприятия по информатизации, указывается одно из следующих значений:</t>
  </si>
  <si>
    <t xml:space="preserve">С - Создание;</t>
  </si>
  <si>
    <t xml:space="preserve">Р - Развитие;</t>
  </si>
  <si>
    <t xml:space="preserve">Э - Эксплуатация;</t>
  </si>
  <si>
    <t xml:space="preserve">В - Вывод из эксплуатации;</t>
  </si>
  <si>
    <t xml:space="preserve">NNN - порядковый номер мероприятия по информатизации (формируется при заполнении графы "Наименование мероприятия по информатизации").</t>
  </si>
  <si>
    <t xml:space="preserve">В случае представления органом исполнительной власти сводного плана по подведомственным учреждениям, в конце уникального номера добавляется буква "П".</t>
  </si>
  <si>
    <t xml:space="preserve">8. Графа "Приоритетное направление" - в случае если мероприятие по информатизации относится к приоритетному направлению, то указывается номер приоритетного направления. В противном случае указывается "отсутствует".</t>
  </si>
  <si>
    <t xml:space="preserve">Наименование приоритетного направления, соответствующее номеру, указанов в примечании, выпадающем при наведении курсора на ячейку. Выбирается из выпадающего списка из следующих значений:</t>
  </si>
  <si>
    <t>отсутствует</t>
  </si>
  <si>
    <t xml:space="preserve">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</t>
  </si>
  <si>
    <t xml:space="preserve">Использование типовых информационно-технологических сервисов и единой сети передачи данных, а также единого центра обработки данных. </t>
  </si>
  <si>
    <t xml:space="preserve">Использование российских информационно-коммуникационных технологий и свободного программного обеспечения. </t>
  </si>
  <si>
    <t xml:space="preserve">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деятельности органов  исполнительной власти и органов  местного самоуправления и подведомственных им учреждений. </t>
  </si>
  <si>
    <t xml:space="preserve">Повышение качества и обеспечение доступности государственных информационных ресурсов, в том числе в форме открытых данных. </t>
  </si>
  <si>
    <t xml:space="preserve">9. Графа "Документ-основание" - Указываются реквизиты документа (тип документа, дата, номер, наименование и орган государственной власти, принявший документ), являющего основанием для реализации</t>
  </si>
  <si>
    <t xml:space="preserve"> мероприятия по информатизации. Если документ не может быть получен с использованием общедоступных информационных ресурсов, рекомендуется с планом информатизации направить в уполномоченный орган </t>
  </si>
  <si>
    <t xml:space="preserve">электронную копию такого документа. Ссылка на документ-основание в сети Интернет, либо информация о направлении в уполномоченный орган его электронной копии указывается в графе "Дополнительная информация"</t>
  </si>
  <si>
    <t xml:space="preserve">В случае если документом-основанием является документ по информатизации (раздел 3), то указывается признак "Документ по информатизации" и вышеуказанные сведения в графу "Документы-основания" не вносятся</t>
  </si>
  <si>
    <t xml:space="preserve">10. Графа "Ответственный за реализацию мероприятия" - указываются фамилия, имя, отчество и должность, контактный телефон и адрес электронной почты должностного лица государственного органа, </t>
  </si>
  <si>
    <t xml:space="preserve">ответственного за планирование и реализацию мероприятия по использованию информационных технологий в деятельности государственного органа</t>
  </si>
  <si>
    <t xml:space="preserve">11. Графа "Информация в форме открытых данных" - указывается перечень видов общедоступной информации, сбор, хранение и размещение которой обеспечивается объектом учета в форме открытых данных </t>
  </si>
  <si>
    <t xml:space="preserve">(наборы открытых данных) на дату формирования сведения о мероприятии по информатизации. Заполняется (при наличии) только для информационных систем специальной и типовой деятельности.  </t>
  </si>
  <si>
    <t xml:space="preserve">12. Графа "Обеспечение возможности размещения информации в форме открытых данных" - указывается перечень видов общедоступной информации, сбор, хранение и размещение которой планируется обеспечить </t>
  </si>
  <si>
    <t xml:space="preserve">посредством объекта учета в форме открытых данных (наборы открытых данных) в результате реализации мероприятия по информатизации. Заполняется (при наличии) только для информационных систем </t>
  </si>
  <si>
    <t xml:space="preserve">специальной и типовой деятельности</t>
  </si>
  <si>
    <t xml:space="preserve">13. Графа "Дополнительная информация" - указывается ссылка на документ-основание либо информация о направлении в УО электронной копии такого документа. Также может быть указана информация о направлении в УО </t>
  </si>
  <si>
    <t xml:space="preserve">электронных копий иных документов, содержащих дополнительную информацию по обоснованию необходимости реализации мероприятия по информатизации.</t>
  </si>
  <si>
    <t xml:space="preserve">Раздел 2. Государственные услуги (функции) государственного органа, на информатизацию которых направлено мероприятие по информатизации"</t>
  </si>
  <si>
    <t xml:space="preserve">РАЗДЕЛ ЗАПОЛНЯЕТСЯ ТОЛЬКО ДЛЯ МЕРОПРИЯТИЙ, НАПРАВЛЕННЫХ НА СОЗДАНИЕ И РАЗВИТИЕ ИС СПЕЦИАЛЬНОЙ И ТИПОВОЙ ДЕЯТЕЛЬНОСТИ</t>
  </si>
  <si>
    <t xml:space="preserve">1. Графа "Наименование мероприятия по информатизации" - выбирается из выпадающего списка. Список формируется при заполнении раздела 1. "Общие сведения", поэтому, если мероприятие не внесено </t>
  </si>
  <si>
    <t xml:space="preserve">в разделе "Общие сведения", в списке оно отображаться не будет.</t>
  </si>
  <si>
    <t xml:space="preserve">2. Графа "Код(ы) государственной услуги" - приводится код государственной услуги в соответствии с данными реестра государственных и муниципальных услуг (функций).</t>
  </si>
  <si>
    <t xml:space="preserve">3. Графа "Наименование государственной услуги" - указывается наименование государственной услуги в соответствии с данными в реестре государственных и муниципальных услуг (функций).</t>
  </si>
  <si>
    <t xml:space="preserve">4.  Графа "Код(ы) государственной функции" - приводится код государственной функции в соответствии с данными реестра государственных и муниципальных услуг (функций).</t>
  </si>
  <si>
    <t xml:space="preserve">5. Графа "Наименование государственной функции" - указывается наименование государственной функции в соответствии с данными в реестре государственных и муниципальных услуг (функций).</t>
  </si>
  <si>
    <t xml:space="preserve">6. Графа "Основания для исполнения государственной функции" - указываются реквизиты документа (тип документа, дата, номер, наименование и орган государственной власти, принявший документ), устанавливающего </t>
  </si>
  <si>
    <t xml:space="preserve">полномочие по исполнению государственным органом государственной функции.</t>
  </si>
  <si>
    <t xml:space="preserve">Раздел 3. Сведения о документах по информатизации (заполняется, если отсутствуют документы-основания)</t>
  </si>
  <si>
    <t xml:space="preserve">2. Графа "Тип документа по информатизации" - указывается тип документа по информатизации</t>
  </si>
  <si>
    <t xml:space="preserve">3. Графа "Обоснование мероприятия по информатизации" - приводится дополнительная информация по обоснованию мероприятия по информатизации и при необходимости прикладываются дополнительные материалы,</t>
  </si>
  <si>
    <t xml:space="preserve">содержащие обоснование мероприятия по информатизации (например, поручение Президента Российской Федерации, поручение Правительства Российской Федерации и иные документы).</t>
  </si>
  <si>
    <t xml:space="preserve">4. Графа "Наименование документа по информатизации" - указывается наименование документа по информатизации</t>
  </si>
  <si>
    <t xml:space="preserve">5. Графа "Оценка мероприятия по информатизации" - указывается статус (результат) оценки мероприятия по информатизации, предусмотренного документом по информатизации путем выбора одного из следующих значений:
</t>
  </si>
  <si>
    <t xml:space="preserve">- направляется на оценку</t>
  </si>
  <si>
    <t xml:space="preserve">- положительное заключение уполномоченного оргна</t>
  </si>
  <si>
    <t xml:space="preserve">- отрицательное заключение уполномоченного органа</t>
  </si>
  <si>
    <t xml:space="preserve">Значения о наличии заключения уполномоченного органа выбираются в случае, если информация о мероприятии ранее направлялось в уполномоченный орган для оценки. Если сведения о мероприятии</t>
  </si>
  <si>
    <t xml:space="preserve">направляются в уполномоченный оргн для оценки в составе плана информатизации впервые, выбирается значение "направляется на оценку"</t>
  </si>
  <si>
    <t xml:space="preserve">Раздел 4. Сведения о целевых показателях и соответствующих им индикаторах реализации мероприятия по информатизации</t>
  </si>
  <si>
    <t xml:space="preserve"> (заполняется для приоритетных мероприятий по информатизации)</t>
  </si>
  <si>
    <t xml:space="preserve">2. Графа "Ожидаемый результат" - 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</t>
  </si>
  <si>
    <t xml:space="preserve">3. Графа "Наименование показателя" - указывается наименование показателя. Перечень показателей формируется в соответствии с типом мероприятия по информатизации, классификационной категории объекта учета, на которую</t>
  </si>
  <si>
    <t xml:space="preserve">направлено мероприятие по информатизации и приоритетных направлений, указанных в Разделе 1 "Общие сведения". Перечень показателей включает базовые и дополнительные показатели в соответствии </t>
  </si>
  <si>
    <t xml:space="preserve">с методическими рекомендациями по формированию 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</t>
  </si>
  <si>
    <t xml:space="preserve"> информационно-коммуникационных технологий</t>
  </si>
  <si>
    <t xml:space="preserve">4. Графа "Единица измерения" - указывается в соответствии с общероссийским классификатором единиц измерения (ОКЕИ). </t>
  </si>
  <si>
    <t xml:space="preserve">5. Графа "Базовое значение" - указывается текущее значение показателя, которое будет являться основой для оценки плановых значений показателей в целом по мероприятию по информатизации</t>
  </si>
  <si>
    <t xml:space="preserve">6. Графа "Плановое значение" - указывается значение показателя, которое планируется достигнуть в результате реализации мероприятия в целом по мероприятию и для каждого года планового периода</t>
  </si>
  <si>
    <t xml:space="preserve">7. Графа "Наименование индикатора" - формируется в соответствии с выбранными показателями</t>
  </si>
  <si>
    <t xml:space="preserve">8. Графа "Плановое значение" - рассчитывается значение индикатора, которое планируется достигнуть в результате реализации мероприятия в целом по мероприятию и для каждого года планового периода. Расчет производится в соответствии</t>
  </si>
  <si>
    <t xml:space="preserve">с методическими рекомендациями по формированию органами исполнительной власти системы целевых показателей и соответствующих им индикаторов информатизации по приоритетным направлениям использования и развития и</t>
  </si>
  <si>
    <t xml:space="preserve">нформационно-коммуникационных технологий. Единицей измерения индикатора является процент (%)</t>
  </si>
  <si>
    <t xml:space="preserve">Раздел 5. Сведения об объемах бюджетных ассигнований на мероприятие по информатизации</t>
  </si>
  <si>
    <t xml:space="preserve">2. Графа "Объем бюджетных ассигнований" - указывается совокупный объем средств бюджетных ассигнований на очередной (текущий) год и плановый период, на реализацию мероприятия по информатизации, в тысячах рублей</t>
  </si>
  <si>
    <t xml:space="preserve">Раздел 6. Сведения о товарах, работах, услугах, необходимых для реализации мероприятий по информатизации</t>
  </si>
  <si>
    <t xml:space="preserve">2. Графа "Код товара, работы, услуги" - указывается порядковый номер товара, работы или соответственно услуги в рамках формируемого мероприятия по информатизации.</t>
  </si>
  <si>
    <t xml:space="preserve">Порядковый номер формируется по маске: ВN, где</t>
  </si>
  <si>
    <t xml:space="preserve">В - префикс вида закупки:</t>
  </si>
  <si>
    <t xml:space="preserve">Т - товар</t>
  </si>
  <si>
    <t xml:space="preserve">Р - работы</t>
  </si>
  <si>
    <t xml:space="preserve">У - услуги</t>
  </si>
  <si>
    <t xml:space="preserve">N - порядковый номер начиная с 1</t>
  </si>
  <si>
    <t>Пример:</t>
  </si>
  <si>
    <t xml:space="preserve">Т1, Т2, Р1, Р2, У1, У2 и т.д.</t>
  </si>
  <si>
    <t xml:space="preserve">3. Графа "Наименование заказчика" - указывается наименование заказчика в соответствии с Федеральным законом № 44-ФЗ</t>
  </si>
  <si>
    <t xml:space="preserve">4. Графа "Наименование объекта закупки" - указывается наименование объекта закупки в соответствии с Федеральным законом 44-ФЗ из выпадающего списка</t>
  </si>
  <si>
    <t xml:space="preserve">5. Графа "Цели закупки" - указываются цели закупки товаров, работ или услуг, необходимых для реализации мероприятия по информатизации в соответствии со статьей 13 Федерального закона 44-ФЗ (выпадающий список)</t>
  </si>
  <si>
    <t xml:space="preserve">6. Графа "Наименование товара, работы, услуги по ОКПД" - указывается наименование товара, работы, услуги, необходимых для реализации мероприятия по информатизации. Наименование товара, работы, услуги указывается </t>
  </si>
  <si>
    <t xml:space="preserve">согласно Общероссийскому классификатору продукции по видам экономической деятельности (ОК 034-2014)</t>
  </si>
  <si>
    <t xml:space="preserve">7. Графа "Код ОКДП" - для каждого товара, работы, услуги указывается код согласно Общероссийскому классификатору продукции по видам экономической деятельности (ОК 034-2014)</t>
  </si>
  <si>
    <t xml:space="preserve">8. Графа "Объем бюджетных ассигнований" - указывается стоимость товара, работы, услуги, в тыс. рублей</t>
  </si>
  <si>
    <t xml:space="preserve">9. Графа "Обоснование закупки" - приводится обоснование закупки товаров, работ, услуг в соответствии со статьей 18 Федерального закона N 44-ФЗ
</t>
  </si>
  <si>
    <t xml:space="preserve">10. Графа "Наименование метода определения стоимости закупки" - приводится наименование метода определения стоимости закупки товара, работы, услуги в соответствии с требованиями статьи 22 с учетом требований </t>
  </si>
  <si>
    <t xml:space="preserve">статьи 19 Федерального закона N 44-ФЗ (заполняется на 2-ом этапе формирования плана по информатизации)</t>
  </si>
  <si>
    <t xml:space="preserve">11. Графа "Идентификационный код объекта закупки" - идентификационный код объекта закупки заполняется после утверждения заказчиком плана-графика закупок</t>
  </si>
  <si>
    <t xml:space="preserve">Раздел 7. Сведения о необходимости проведения оценки мероприятия по информатизации</t>
  </si>
  <si>
    <t xml:space="preserve">2. Графа "Сведения об оценке мероприятия по информатизации" - указывается один из следующих статусов оценки уполномоченным органом мероприятия по информатизации:
</t>
  </si>
  <si>
    <t xml:space="preserve">1. не проводилась</t>
  </si>
  <si>
    <t xml:space="preserve">2. положительное заключение</t>
  </si>
  <si>
    <t xml:space="preserve">3. отрицательное заключение</t>
  </si>
  <si>
    <t xml:space="preserve">Статусы "положительное" или "отрицательное" заключение указываются в случае, если ранее органом исполнительной власти мероприятие направлялось в УО для проведения оценки.</t>
  </si>
  <si>
    <t xml:space="preserve">В случае направления информации о мероприятии впервые в составе плана информатизации выбирается статус "не проводилась"</t>
  </si>
  <si>
    <t xml:space="preserve">3. Графа "Изменение параметров мероприятия по информатизации" - в случае выбора на титульной странице в графе "Вид плана" параметра "Измененный" или "Итоговый" указывается одно из следующих значений:</t>
  </si>
  <si>
    <t xml:space="preserve">1. параметры не изменились</t>
  </si>
  <si>
    <t xml:space="preserve">2. параметры изменялись - выбирается в случае елси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</t>
  </si>
  <si>
    <t xml:space="preserve">В остальных случаях значение не выбирается и ячейка остается пустой</t>
  </si>
  <si>
    <t xml:space="preserve">4. Графа "Вид закупки" - в случае указания в разделе 6 нормативного метода определения стоимости закупки указывается одно из следующих значений :</t>
  </si>
  <si>
    <t xml:space="preserve">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</t>
  </si>
  <si>
    <t xml:space="preserve">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</t>
  </si>
  <si>
    <t xml:space="preserve">В ином случае не заполняется</t>
  </si>
  <si>
    <t xml:space="preserve">5. Графа "Оценка мероприятия по информатизации" - Указывается одно из следующих значений из выпадающего списка:</t>
  </si>
  <si>
    <t xml:space="preserve">1. оценка требуется</t>
  </si>
  <si>
    <t xml:space="preserve">2. требуется повторная оценка</t>
  </si>
  <si>
    <t xml:space="preserve">3. оценка не требуется</t>
  </si>
  <si>
    <t xml:space="preserve">6. Графа "Последовательность включения в план информатизации" - указывается одно из следующих значений из выпадающего списка:</t>
  </si>
  <si>
    <t>«а»</t>
  </si>
  <si>
    <t xml:space="preserve">–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</t>
  </si>
  <si>
    <t>«б»</t>
  </si>
  <si>
    <t xml:space="preserve">–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</t>
  </si>
  <si>
    <t>«в»</t>
  </si>
  <si>
    <t xml:space="preserve">–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ИКТ</t>
  </si>
  <si>
    <t>«г»</t>
  </si>
  <si>
    <t xml:space="preserve">– иное мероприятие по информатизации</t>
  </si>
  <si>
    <t xml:space="preserve">Значение указывается при включении мероприятия по информатизации в проект плана информатизации</t>
  </si>
  <si>
    <t xml:space="preserve">После заполнения всех форм необходимо вернуться к шагу 5 формы "План инф-ции (титул)" и сформировать план информатизации.</t>
  </si>
  <si>
    <t xml:space="preserve">Наименование мероприятия</t>
  </si>
  <si>
    <t xml:space="preserve">Уникальный номер мероприятия</t>
  </si>
  <si>
    <t xml:space="preserve">Тип 
мероприятия по информатизации</t>
  </si>
  <si>
    <t xml:space="preserve">Наименование объекта учета</t>
  </si>
  <si>
    <t xml:space="preserve">Номер приоритетного направления</t>
  </si>
  <si>
    <t xml:space="preserve">Финансирование за счет средств областного бюджета (тыс. рублей)*</t>
  </si>
  <si>
    <t xml:space="preserve">Целевые показатели по приоритетным направлениям, которые будут обеспечены в результате реализации мероприятия по информатизации</t>
  </si>
  <si>
    <t xml:space="preserve">Основания реализации мероприятия по информатизации (наименование, дата, номер, пункты, статьи)</t>
  </si>
  <si>
    <t xml:space="preserve">Наименование показателя</t>
  </si>
  <si>
    <t xml:space="preserve">Единица измерения</t>
  </si>
  <si>
    <t xml:space="preserve">Базовое (текущее) значение</t>
  </si>
  <si>
    <t xml:space="preserve">Ожидаемые 
(плановые) значения</t>
  </si>
  <si>
    <t xml:space="preserve">Очередной финансовый
год</t>
  </si>
  <si>
    <t xml:space="preserve">1 год
планового периода</t>
  </si>
  <si>
    <t xml:space="preserve">2 год 
планового периода</t>
  </si>
  <si>
    <t xml:space="preserve">Очередной финансовый год</t>
  </si>
  <si>
    <t xml:space="preserve">1 год планового периода</t>
  </si>
  <si>
    <t xml:space="preserve">2 год планового периода</t>
  </si>
  <si>
    <t xml:space="preserve">План информатизации</t>
  </si>
  <si>
    <t xml:space="preserve">на 2024 финансовый год и плановый период 2025-2026 годов</t>
  </si>
  <si>
    <t>Коды</t>
  </si>
  <si>
    <t xml:space="preserve">Признак подведомсвтенности</t>
  </si>
  <si>
    <t xml:space="preserve">от "06" февраля 2024 года</t>
  </si>
  <si>
    <t>Дата</t>
  </si>
  <si>
    <t xml:space="preserve">Комитет по делам архивов Оренбургской области</t>
  </si>
  <si>
    <t xml:space="preserve">Код ГРБС</t>
  </si>
  <si>
    <t xml:space="preserve">полное наименование государственного органа</t>
  </si>
  <si>
    <t xml:space="preserve">Код ОКЕИ</t>
  </si>
  <si>
    <t xml:space="preserve">Вид плана</t>
  </si>
  <si>
    <t>Итоговый</t>
  </si>
  <si>
    <t xml:space="preserve">Номер изменений</t>
  </si>
  <si>
    <t xml:space="preserve">Уникальный номер мероприятия
(выбирается из списка)</t>
  </si>
  <si>
    <t xml:space="preserve">ИТОГО по мероприятиям по информатизации типа создание, соответствующим приоритетным направлениям</t>
  </si>
  <si>
    <t xml:space="preserve">ИТОГО по иным мероприятиям по информатизации типа создание</t>
  </si>
  <si>
    <t xml:space="preserve">ИТОГО по мероприятиям по информатизации типа развитие, соответствующим приоритетным направлениям</t>
  </si>
  <si>
    <t xml:space="preserve">ИТОГО по иным мероприятиям по информатизации типа развитие</t>
  </si>
  <si>
    <t xml:space="preserve">ИТОГО по мероприятиям по информатизации типа эксплуатация, соответствующим приоритетным направлениям</t>
  </si>
  <si>
    <t>818.Э.001</t>
  </si>
  <si>
    <t>818.Э.002</t>
  </si>
  <si>
    <t>818.Э.003</t>
  </si>
  <si>
    <t>818.Э.004</t>
  </si>
  <si>
    <t/>
  </si>
  <si>
    <t xml:space="preserve">ИТОГО по иным мероприятиям по информатизации типа эксплуатация</t>
  </si>
  <si>
    <t xml:space="preserve">ИТОГО по мероприятиям по информатизации типа вывод из эксплуатации, соответствующим приоритетным направлениям</t>
  </si>
  <si>
    <t xml:space="preserve">ИТОГО по иным мероприятиям по информатизации типа вывод из эксплуатации</t>
  </si>
  <si>
    <t>ВСЕГО:</t>
  </si>
  <si>
    <t xml:space="preserve">СВЕДЕНИЯ О МЕРОПРИЯТИЯХ ПО ИНФОРМАТИЗАЦИИ</t>
  </si>
  <si>
    <t xml:space="preserve">на 2024 год и плановый период 2025 - 2026 годов</t>
  </si>
  <si>
    <t xml:space="preserve">Раздел 1. Общие сведения</t>
  </si>
  <si>
    <t xml:space="preserve">№ п/п</t>
  </si>
  <si>
    <t>текст</t>
  </si>
  <si>
    <t xml:space="preserve">Наименование государственного органа, осуществляющего реализацию мероприятия</t>
  </si>
  <si>
    <t xml:space="preserve">Наименование объекта учета
(вводится вручную в соответствии с документом о вводе в эксплуатацию/о создании/иного документа)</t>
  </si>
  <si>
    <t xml:space="preserve">Идентификатор объекта учета 
(вводится вручную при наличии системы учета)</t>
  </si>
  <si>
    <t xml:space="preserve">Статус состояния объекта учета
(выбирается из выпадающего списка)</t>
  </si>
  <si>
    <t xml:space="preserve">Планируемый статус объекта учета
(выбирается из выпадающего списка)</t>
  </si>
  <si>
    <t xml:space="preserve">Тип мероприятия
(выбирается из выпадающего списка)</t>
  </si>
  <si>
    <t xml:space="preserve">Наименование мероприятия по информатизации
(формируется автоматически на основании наименования объекта учета и выбранного типа мероприятия)</t>
  </si>
  <si>
    <t xml:space="preserve">Уникальный номер мероприятия
(формируется автоматически)</t>
  </si>
  <si>
    <t xml:space="preserve">Приоритетное направление
(выбирается из выпадающего списка)</t>
  </si>
  <si>
    <t xml:space="preserve">Документ-основание
(вводится вручную)</t>
  </si>
  <si>
    <t xml:space="preserve">Ответственный за реализацию мероприятия 
(Ф.И.О., должность, контактный телефон, электронная почта, вводится вручную)</t>
  </si>
  <si>
    <t xml:space="preserve">Информация в форме открытых данных
(вводится вручную)</t>
  </si>
  <si>
    <t xml:space="preserve">Обеспечение возможности размещения информации в форме открытых данных</t>
  </si>
  <si>
    <t xml:space="preserve">Дополнительная информация</t>
  </si>
  <si>
    <t>Столбец1</t>
  </si>
  <si>
    <t>Столбец2</t>
  </si>
  <si>
    <t>Столбец3</t>
  </si>
  <si>
    <t xml:space="preserve">Связь и Интернет</t>
  </si>
  <si>
    <t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t>
  </si>
  <si>
    <t xml:space="preserve">Самойлова Галина Сергеевна, ведущий эксперт, +7(3532)77-15-20, gss@mail.orb.ru.</t>
  </si>
  <si>
    <t>Оргтехника</t>
  </si>
  <si>
    <t xml:space="preserve">Система электронной отчетности "Контур.Экстерн"</t>
  </si>
  <si>
    <t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t>
  </si>
  <si>
    <t xml:space="preserve">Программное обеспечение</t>
  </si>
  <si>
    <t xml:space="preserve">Эксплуатация Программное обеспечение</t>
  </si>
  <si>
    <t xml:space="preserve"> Создание АРМ, оборудование для ЛВС</t>
  </si>
  <si>
    <t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t>
  </si>
  <si>
    <t xml:space="preserve">В случае достижения выделенной границы и необходимости добавления информации, вставить строку выше пограничной строки. </t>
  </si>
  <si>
    <t xml:space="preserve">При этом все формулы скопируются, за исключением примечанияв графе "Приоритетное направление"</t>
  </si>
  <si>
    <t xml:space="preserve">Раздел 2. Государственные услуги (функции) государственного органа, </t>
  </si>
  <si>
    <t xml:space="preserve">на информатизацию которых направлено мероприятие по информатизации</t>
  </si>
  <si>
    <t xml:space="preserve">Наименование мероприятия по информатизации
(выбирается из выпадающего списка, сформированного в разделе 1)</t>
  </si>
  <si>
    <t xml:space="preserve">Код(ы) государственной услуги</t>
  </si>
  <si>
    <t xml:space="preserve">Наименование(я) государственной услуги</t>
  </si>
  <si>
    <t xml:space="preserve">Код(ы) государственной функции</t>
  </si>
  <si>
    <t xml:space="preserve">Наименование(я) государственной функции</t>
  </si>
  <si>
    <t xml:space="preserve">Основание(я) для исполнения государственной функции</t>
  </si>
  <si>
    <t xml:space="preserve">Раздел 3. Сведения о документах по информатизации</t>
  </si>
  <si>
    <t xml:space="preserve">(заполняется, если отсутствуют документы-основания)</t>
  </si>
  <si>
    <t xml:space="preserve">Наименование мероприятия по информатизации
(выбирается из выпадающего списка, сформированного в разделе 1)</t>
  </si>
  <si>
    <t xml:space="preserve">Тип документа по информатизации</t>
  </si>
  <si>
    <t xml:space="preserve">Обоснование мероприятия по информатизации</t>
  </si>
  <si>
    <t xml:space="preserve">Наименование документа по информатизации</t>
  </si>
  <si>
    <t xml:space="preserve">Оценка мероприятия по информатизации
(выбирается из выпадающего списка)</t>
  </si>
  <si>
    <t xml:space="preserve">Эксплуатация Оргтехника</t>
  </si>
  <si>
    <t xml:space="preserve">соглашение двух или нескольких лиц об установлении, изменении или прекращении гражданских прав и обязанностей в рамках 44-ФЗ</t>
  </si>
  <si>
    <t xml:space="preserve">Техническое обслуживание и закупка расходных материалов позволят предотвратить поломки и продлить срок службы оргтехники в …..</t>
  </si>
  <si>
    <t xml:space="preserve">направляется на оценку в УО</t>
  </si>
  <si>
    <t xml:space="preserve">Раздел 4. Сведения о целевых показателях и соответствующих им индикаторах реализации мероприятия по информатизации </t>
  </si>
  <si>
    <t xml:space="preserve">(заполняется только для приоритетных мероприятий)</t>
  </si>
  <si>
    <t xml:space="preserve">Ожидаемый результат</t>
  </si>
  <si>
    <t>показатели</t>
  </si>
  <si>
    <t>индикаторы</t>
  </si>
  <si>
    <t xml:space="preserve">наименование показателя</t>
  </si>
  <si>
    <t xml:space="preserve">единица измерения</t>
  </si>
  <si>
    <t xml:space="preserve">Базовое значение</t>
  </si>
  <si>
    <t xml:space="preserve">плановое значение</t>
  </si>
  <si>
    <t xml:space="preserve">наименование индикатора</t>
  </si>
  <si>
    <t xml:space="preserve">Очередной 
(текущий) год</t>
  </si>
  <si>
    <t xml:space="preserve">Первый год 
планового периода</t>
  </si>
  <si>
    <t xml:space="preserve">Второй год 
планового периода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</si>
  <si>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</si>
  <si>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</si>
  <si>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</si>
  <si>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</si>
  <si>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</si>
  <si>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</si>
  <si>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</si>
  <si>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 xml:space="preserve">При этом все формулы скопируются, за исключением примечанияв графе "Ожидаемый результат"</t>
  </si>
  <si>
    <t xml:space="preserve">Наименование мероприятия по информатизации
(выбирается из выпадающего списка, сформированного в разделе 1)
</t>
  </si>
  <si>
    <t xml:space="preserve">Объем бюджетных ассигнований, 
тыс. рублей</t>
  </si>
  <si>
    <t xml:space="preserve">Очередной 
(текущий) год 2024</t>
  </si>
  <si>
    <t xml:space="preserve">Первый год 
планового периода 2025</t>
  </si>
  <si>
    <t xml:space="preserve">Второй год 
планового периода 2026</t>
  </si>
  <si>
    <t xml:space="preserve">Эксплуатация Связь и Интернет</t>
  </si>
  <si>
    <t xml:space="preserve">Эксплуатация Система электронной отчетности "Контур.Экстерн"</t>
  </si>
  <si>
    <t xml:space="preserve">Эксплуатация  Создание АРМ, оборудование для ЛВС</t>
  </si>
  <si>
    <t xml:space="preserve"> </t>
  </si>
  <si>
    <t xml:space="preserve">В случае достижения выделенной границы и необходимости добавления информации, </t>
  </si>
  <si>
    <t xml:space="preserve">вставить строку выше пограничной строки. </t>
  </si>
  <si>
    <t xml:space="preserve">Наименование мероприятия 
по информатизации
(выбирается из выпадающего списка, сформированного в разделе 1)</t>
  </si>
  <si>
    <t xml:space="preserve">Код товара, работы, услуги</t>
  </si>
  <si>
    <t xml:space="preserve">Наименование заказчика</t>
  </si>
  <si>
    <t xml:space="preserve">Наименование объекта закупки
(выбирается из выпадающего списка)</t>
  </si>
  <si>
    <t xml:space="preserve">Цель закупки
(выбирается из выпадающего списка)</t>
  </si>
  <si>
    <t xml:space="preserve">Наименование 
товара, работы, услуги по ОКПД</t>
  </si>
  <si>
    <t xml:space="preserve">Код ОКПД</t>
  </si>
  <si>
    <t xml:space="preserve">Объем бюджетных ассигнований, тыс. рублей</t>
  </si>
  <si>
    <t xml:space="preserve">Обоснование 
закупки</t>
  </si>
  <si>
    <t xml:space="preserve">Наименование метода определения стоимости закупки</t>
  </si>
  <si>
    <t xml:space="preserve">Идентификационный код закупки</t>
  </si>
  <si>
    <t>У1</t>
  </si>
  <si>
    <t xml:space="preserve">Комитет по делам архивов Оренбурсгкой области</t>
  </si>
  <si>
    <t xml:space="preserve">поставка товара</t>
  </si>
  <si>
    <t>3)</t>
  </si>
  <si>
    <t xml:space="preserve">Предоставление доступа к информации мировых и региональных информационно-телекоммуникационных сетей (в том числе к сети Интернет)</t>
  </si>
  <si>
    <t>64.20.18.130</t>
  </si>
  <si>
    <t xml:space="preserve">п.3 ст.13 
Федерального закона от 05.04.2013 N 44-ФЗ  "О контрактной системе в сфере закупок товаров, работ, услуг для обеспечения государственных и муниципальных нужд"</t>
  </si>
  <si>
    <t xml:space="preserve">метод сопоставимых рыночных цен (анализа рынка)</t>
  </si>
  <si>
    <t xml:space="preserve">Закупка у единственного поставщика</t>
  </si>
  <si>
    <t>У2</t>
  </si>
  <si>
    <t xml:space="preserve">оказание услуги</t>
  </si>
  <si>
    <t xml:space="preserve">Услуги внутризоновой, междугородной и международной телефонной связи (Вложенный код выделить не удалось, так как в предоставляемую услугу входят как местные, так и междугородние/международные соединения. По ОКПД 2 - 61.10.11.110 "Услуги по предоставлению внутризоновых, междугородных и международных телефонных соединений")</t>
  </si>
  <si>
    <t>64.20.12</t>
  </si>
  <si>
    <t>У3</t>
  </si>
  <si>
    <t xml:space="preserve">Машины офисные прочие, не включенные в другие группи- ровки</t>
  </si>
  <si>
    <t>30.01.23.190</t>
  </si>
  <si>
    <t xml:space="preserve">Эксплуатация Система электронной отчетности "Контур.Экстерн" </t>
  </si>
  <si>
    <t>У4</t>
  </si>
  <si>
    <t>72.21.11.000</t>
  </si>
  <si>
    <t>58.29.50</t>
  </si>
  <si>
    <t xml:space="preserve">Эксплуатация Создание АРМ, оборудование для ЛВС</t>
  </si>
  <si>
    <t>Т5</t>
  </si>
  <si>
    <t xml:space="preserve">Компьютеры, их части и принадлежности</t>
  </si>
  <si>
    <t>26.20.1</t>
  </si>
  <si>
    <t xml:space="preserve">Закупка малого объема</t>
  </si>
  <si>
    <t xml:space="preserve">Сведения об оценке мероприятия по информатизации
(выбирается из выпадающего списка)</t>
  </si>
  <si>
    <t xml:space="preserve">Изменение параметров мероприятия по информатизации
(выбирается из выпадающего списка)</t>
  </si>
  <si>
    <t xml:space="preserve">Вид закупки
(выбирается из выпадающего списка)</t>
  </si>
  <si>
    <t xml:space="preserve">Оценка мерпоириятия по информатизации
(выбирается из выпадающего списка)</t>
  </si>
  <si>
    <t xml:space="preserve">Последовательность включения в план информатизации
(выбирается из выпадающего списка)</t>
  </si>
  <si>
    <t xml:space="preserve">Эксплуатация АРМ (Автоматизированное рабочее место)</t>
  </si>
  <si>
    <t xml:space="preserve">Оценка не производилась</t>
  </si>
  <si>
    <t xml:space="preserve">Параметры не изменялись</t>
  </si>
  <si>
    <t xml:space="preserve">Обеспечение эксплуатации</t>
  </si>
  <si>
    <t xml:space="preserve">Оценка требуется</t>
  </si>
  <si>
    <t>"б"</t>
  </si>
  <si>
    <t xml:space="preserve">Эксплуатация Программные продукты 1С</t>
  </si>
  <si>
    <t xml:space="preserve">Эксплуатация Антивирусное ПО</t>
  </si>
  <si>
    <t xml:space="preserve">Эксплуатация АС "УРМ"</t>
  </si>
  <si>
    <t xml:space="preserve">Вывод из эксплуатациии Компьютерное оборудование, оборудование сети передачи данных, хранения данных</t>
  </si>
  <si>
    <t xml:space="preserve">Общетехнологические нужды</t>
  </si>
  <si>
    <t>"г"</t>
  </si>
  <si>
    <t xml:space="preserve">Эксплуатация Сайт ГБУ "Оренбургский областной бизнес-инкубатор"</t>
  </si>
  <si>
    <t xml:space="preserve">Развитие Компьютерная техника
</t>
  </si>
  <si>
    <t xml:space="preserve">Эксплуатация Компьютерная техника
</t>
  </si>
  <si>
    <t xml:space="preserve">оценка не производилась</t>
  </si>
  <si>
    <t xml:space="preserve">Эксплуатация ПО "СБИС" </t>
  </si>
  <si>
    <t xml:space="preserve">Развитие Оргтехника</t>
  </si>
  <si>
    <t xml:space="preserve">Создание АРМ (Автоматизированное рабочее место)</t>
  </si>
  <si>
    <t xml:space="preserve">Эксплуатация ПО "Консультант плюс"</t>
  </si>
  <si>
    <t xml:space="preserve">Развитие Операционная система</t>
  </si>
  <si>
    <t xml:space="preserve">Полное наименование ОИВ</t>
  </si>
  <si>
    <t xml:space="preserve">Краткое наименование ОИВ</t>
  </si>
  <si>
    <t xml:space="preserve">ВЫБЕРИТЕ ИЗ СПИСКА</t>
  </si>
  <si>
    <t xml:space="preserve">Аппарат Губернатора и Правительства Оренбургской области</t>
  </si>
  <si>
    <t>АГИП</t>
  </si>
  <si>
    <t xml:space="preserve">Использование информационно-коммуникационных технологий для 
оптимизации процедур и повышения качества предоставления 
государственных и муниципальных услуг и исполнения государственных и 
муниципальных функций, в том числе с применением механизмов получения 
от граждан и организаций в электронном виде информации о качестве 
взаимодействия с органами исполнительной власти и органами местного 
самоуправления и подведомственными им учреждениями. </t>
  </si>
  <si>
    <t xml:space="preserve">Министерство здравоохранения Оренбургской области</t>
  </si>
  <si>
    <t>Минздрав</t>
  </si>
  <si>
    <t xml:space="preserve"> Использование типовых информационно-технологических сервисов и 
единой сети передачи данных, а также единого центра обработки данных. </t>
  </si>
  <si>
    <t xml:space="preserve">Министерство социального развития Оренбургской области</t>
  </si>
  <si>
    <t>Минсоцразвития</t>
  </si>
  <si>
    <t xml:space="preserve">Использование российских информационно-коммуникационных 
технологий и свободного программного обеспечения. </t>
  </si>
  <si>
    <t xml:space="preserve">Министерство региональной и информационной политики Оренбургской области</t>
  </si>
  <si>
    <t>Мининфо</t>
  </si>
  <si>
    <t xml:space="preserve">Министерство культуры Оренбургской области</t>
  </si>
  <si>
    <t>Минкультуры</t>
  </si>
  <si>
    <t xml:space="preserve">Защита информации, содержащейся в государственных и 
информационных системах, и обеспечение информационной безопасности 
при использовании информационно-коммуникационных технологий в 
деятельности органов  исполнительной власти и органов  местного 
самоуправления и подведомственных им учреждений. </t>
  </si>
  <si>
    <t xml:space="preserve">Министерство физической культуры и спорта Оренбургской области</t>
  </si>
  <si>
    <t>Минспорта</t>
  </si>
  <si>
    <t xml:space="preserve">Повышение качества и обеспечение доступности государственных 
информационных ресурсов, в том числе в форме открытых данных. </t>
  </si>
  <si>
    <t xml:space="preserve">Министерство образования Оренбургской области</t>
  </si>
  <si>
    <t>Минобразования</t>
  </si>
  <si>
    <t xml:space="preserve">Министерство природных ресурсов, экологии и имущественных отношений Оренбургской области</t>
  </si>
  <si>
    <t>Минприроды</t>
  </si>
  <si>
    <t xml:space="preserve">Министерство сельского хозяйства, торговли, пищевой и перерабатывающей промышленности Оренбургской области</t>
  </si>
  <si>
    <t>Минсельхоз</t>
  </si>
  <si>
    <t xml:space="preserve">положительная оценка УО</t>
  </si>
  <si>
    <t xml:space="preserve">Министерство строительства, жилищно-коммунального, дорожного хозяйства и транспорта Оренбургской области</t>
  </si>
  <si>
    <t>Минстрой</t>
  </si>
  <si>
    <t xml:space="preserve">отрицательная оценка УО</t>
  </si>
  <si>
    <t xml:space="preserve">Министерство труда и занятости населения Оренбургской области</t>
  </si>
  <si>
    <t>Минтруд</t>
  </si>
  <si>
    <t xml:space="preserve">Министерство финансов Оренбургской области</t>
  </si>
  <si>
    <t>Минфин</t>
  </si>
  <si>
    <t xml:space="preserve">Министерство экономического развития, инвестиций, туризма и внешних связей Оренбургской области</t>
  </si>
  <si>
    <t>Минэконом</t>
  </si>
  <si>
    <t xml:space="preserve">отрицательное заключение</t>
  </si>
  <si>
    <t xml:space="preserve">Министерство промышленности и энергетики Оренбургской области</t>
  </si>
  <si>
    <t>Минпромэнерго</t>
  </si>
  <si>
    <t xml:space="preserve">Министерство цифрового развития и связи Оренбургской области</t>
  </si>
  <si>
    <t>Минцифра</t>
  </si>
  <si>
    <t xml:space="preserve">Министерство архитектуры и пространственно-градостроительного развития Оренбургской области</t>
  </si>
  <si>
    <t>МинАрхипгр</t>
  </si>
  <si>
    <t xml:space="preserve">Параметры изменялись</t>
  </si>
  <si>
    <t xml:space="preserve">Департамент Оренбургской области по ценам и регулированию тарифов</t>
  </si>
  <si>
    <t xml:space="preserve">Департамент по ценам</t>
  </si>
  <si>
    <t xml:space="preserve">Департамент молодежной политики Оренбургской области</t>
  </si>
  <si>
    <t xml:space="preserve">Департамент молодежи</t>
  </si>
  <si>
    <t xml:space="preserve">Департамент пожарной безопасности и гражданской защиты Оренбургской области</t>
  </si>
  <si>
    <t xml:space="preserve">Департамент ПБ и ГЗ</t>
  </si>
  <si>
    <t xml:space="preserve">Государственная жилищная инспекция по Оренбургской области</t>
  </si>
  <si>
    <t>Жилинспекция</t>
  </si>
  <si>
    <t xml:space="preserve">Инспекция государственного строительного надзора Оренбургской области</t>
  </si>
  <si>
    <t xml:space="preserve">Инспекция госстройнадзора</t>
  </si>
  <si>
    <t xml:space="preserve">Инспекция государственной охраны объектов культурного наследия Оренбургской области</t>
  </si>
  <si>
    <t>ИГООКН</t>
  </si>
  <si>
    <t xml:space="preserve">Комитет по обеспечению деятельности мировых судей Оренбургской области</t>
  </si>
  <si>
    <t xml:space="preserve">Комитет мировых судей</t>
  </si>
  <si>
    <t xml:space="preserve">Комитет по вопросам записи актов гражданского состояния Оренбургской области</t>
  </si>
  <si>
    <t xml:space="preserve">Комитет ЗАГС</t>
  </si>
  <si>
    <t xml:space="preserve">Комитет по делам архивов</t>
  </si>
  <si>
    <t xml:space="preserve">Комитет по профилактике коррупционных правонарушений Оренбургской области</t>
  </si>
  <si>
    <t xml:space="preserve">Комитет по ПКП</t>
  </si>
  <si>
    <t xml:space="preserve">Комитет внутреннего государственного финансового контроля Оренбургской области</t>
  </si>
  <si>
    <t>Минконтроля</t>
  </si>
  <si>
    <t>Предварительный</t>
  </si>
  <si>
    <t>"а"</t>
  </si>
  <si>
    <t xml:space="preserve">Оценка не требуется</t>
  </si>
  <si>
    <t>Измененный</t>
  </si>
  <si>
    <t>"в"</t>
  </si>
  <si>
    <t xml:space="preserve">Требуется повторная оценка</t>
  </si>
  <si>
    <t xml:space="preserve">выполнение работы</t>
  </si>
  <si>
    <t xml:space="preserve">Вывод из эксплуатациии</t>
  </si>
  <si>
    <t xml:space="preserve">подведомственный (сводный)</t>
  </si>
  <si>
    <t xml:space="preserve">Статья 13. Цели осуществления закупок</t>
  </si>
  <si>
    <t xml:space="preserve">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</t>
  </si>
  <si>
    <t>1)</t>
  </si>
  <si>
    <t xml:space="preserve">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</t>
  </si>
  <si>
    <t>2)</t>
  </si>
  <si>
    <t xml:space="preserve">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</t>
  </si>
  <si>
    <t xml:space="preserve">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</si>
</sst>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#,##0.0\ _₽;\-#,##0.0\ _₽"/>
    <numFmt numFmtId="161" formatCode="#,##0.0\ _₽"/>
    <numFmt numFmtId="162" formatCode="#,##0.0"/>
  </numFmts>
  <fonts count="16">
    <font>
      <sz val="11.000000"/>
      <color theme="1"/>
      <name val="Calibri"/>
      <scheme val="minor"/>
    </font>
    <font>
      <sz val="12.000000"/>
      <color indexed="2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theme="5" tint="-0.249977111117893"/>
      <name val="Calibri"/>
      <scheme val="minor"/>
    </font>
    <font>
      <sz val="11.000000"/>
      <color rgb="FF7030A0"/>
      <name val="Calibri"/>
      <scheme val="minor"/>
    </font>
    <font>
      <sz val="11.000000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8.000000"/>
      <color theme="1"/>
      <name val="Calibri"/>
      <scheme val="minor"/>
    </font>
    <font>
      <sz val="12.000000"/>
      <name val="Times New Roman"/>
    </font>
    <font>
      <b/>
      <sz val="16.000000"/>
      <color indexed="2"/>
      <name val="Calibri"/>
      <scheme val="minor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color indexed="2"/>
      <name val="Times New Roman"/>
    </font>
    <font>
      <sz val="12.000000"/>
      <color indexed="63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40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ck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</borders>
  <cellStyleXfs count="2">
    <xf fontId="0" fillId="0" borderId="0" numFmtId="0" applyNumberFormat="1" applyFont="1" applyFill="1" applyBorder="1"/>
    <xf fontId="0" fillId="0" borderId="0" numFmtId="9" applyNumberFormat="1" applyFont="0" applyFill="0" applyBorder="0" applyProtection="0"/>
  </cellStyleXfs>
  <cellXfs count="212">
    <xf fontId="0" fillId="0" borderId="0" numFmtId="0" xfId="0"/>
    <xf fontId="0" fillId="0" borderId="0" numFmtId="0" xfId="0" applyAlignment="1">
      <alignment vertical="center"/>
    </xf>
    <xf fontId="1" fillId="0" borderId="0" numFmtId="0" xfId="0" applyFont="1" applyAlignment="1">
      <alignment vertical="center"/>
    </xf>
    <xf fontId="2" fillId="0" borderId="0" numFmtId="0" xfId="0" applyFont="1"/>
    <xf fontId="3" fillId="0" borderId="0" numFmtId="0" xfId="0" applyFont="1"/>
    <xf fontId="4" fillId="0" borderId="0" numFmtId="0" xfId="0" applyFont="1"/>
    <xf fontId="5" fillId="0" borderId="0" numFmtId="0" xfId="0" applyFont="1"/>
    <xf fontId="6" fillId="0" borderId="0" numFmtId="0" xfId="0" applyFont="1"/>
    <xf fontId="0" fillId="0" borderId="0" numFmtId="0" xfId="0" applyAlignment="1">
      <alignment horizontal="center" vertical="top"/>
    </xf>
    <xf fontId="0" fillId="0" borderId="0" numFmtId="0" xfId="0" applyAlignment="1">
      <alignment horizontal="left" vertical="top" wrapText="1"/>
    </xf>
    <xf fontId="0" fillId="0" borderId="0" numFmtId="49" xfId="0" applyNumberFormat="1"/>
    <xf fontId="5" fillId="0" borderId="0" numFmtId="0" xfId="0" applyFont="1" applyAlignment="1">
      <alignment vertical="top"/>
    </xf>
    <xf fontId="5" fillId="0" borderId="0" numFmtId="0" xfId="0" applyFont="1" applyAlignment="1">
      <alignment horizontal="right"/>
    </xf>
    <xf fontId="0" fillId="2" borderId="1" numFmtId="0" xfId="0" applyFill="1" applyBorder="1" applyAlignment="1">
      <alignment horizontal="center" vertical="top" wrapText="1"/>
    </xf>
    <xf fontId="0" fillId="2" borderId="2" numFmtId="0" xfId="0" applyFill="1" applyBorder="1" applyAlignment="1">
      <alignment horizontal="center" vertical="top" wrapText="1"/>
    </xf>
    <xf fontId="0" fillId="2" borderId="3" numFmtId="0" xfId="0" applyFill="1" applyBorder="1" applyAlignment="1">
      <alignment horizontal="center" vertical="top" wrapText="1"/>
    </xf>
    <xf fontId="0" fillId="2" borderId="4" numFmtId="0" xfId="0" applyFill="1" applyBorder="1"/>
    <xf fontId="0" fillId="2" borderId="2" numFmtId="0" xfId="0" applyFill="1" applyBorder="1"/>
    <xf fontId="0" fillId="2" borderId="2" numFmtId="160" xfId="0" applyNumberFormat="1" applyFill="1" applyBorder="1"/>
    <xf fontId="0" fillId="2" borderId="5" numFmtId="0" xfId="0" applyFill="1" applyBorder="1"/>
    <xf fontId="0" fillId="2" borderId="2" numFmtId="0" xfId="0" applyFill="1" applyBorder="1" applyAlignment="1">
      <alignment horizontal="center" vertical="top"/>
    </xf>
    <xf fontId="0" fillId="0" borderId="2" numFmtId="160" xfId="0" applyNumberFormat="1" applyBorder="1"/>
    <xf fontId="0" fillId="0" borderId="2" numFmtId="0" xfId="0" applyBorder="1"/>
    <xf fontId="0" fillId="0" borderId="2" numFmtId="0" xfId="0" applyBorder="1" applyAlignment="1">
      <alignment horizontal="center" vertical="top"/>
    </xf>
    <xf fontId="0" fillId="0" borderId="5" numFmtId="0" xfId="0" applyBorder="1"/>
    <xf fontId="0" fillId="0" borderId="1" numFmtId="0" xfId="0" applyBorder="1"/>
    <xf fontId="0" fillId="2" borderId="6" numFmtId="0" xfId="0" applyFill="1" applyBorder="1"/>
    <xf fontId="0" fillId="2" borderId="6" numFmtId="160" xfId="0" applyNumberFormat="1" applyFill="1" applyBorder="1"/>
    <xf fontId="0" fillId="0" borderId="6" numFmtId="160" xfId="0" applyNumberFormat="1" applyBorder="1"/>
    <xf fontId="0" fillId="0" borderId="6" numFmtId="0" xfId="0" applyBorder="1"/>
    <xf fontId="0" fillId="0" borderId="7" numFmtId="0" xfId="0" applyBorder="1"/>
    <xf fontId="0" fillId="3" borderId="0" numFmtId="0" xfId="0" applyFill="1"/>
    <xf fontId="0" fillId="0" borderId="0" numFmtId="0" xfId="0" applyProtection="1">
      <protection locked="0"/>
    </xf>
    <xf fontId="7" fillId="0" borderId="0" numFmtId="0" xfId="0" applyFont="1" applyProtection="1">
      <protection locked="0"/>
    </xf>
    <xf fontId="7" fillId="0" borderId="0" numFmtId="0" xfId="0" applyFont="1" applyAlignment="1" applyProtection="1">
      <alignment horizontal="center"/>
      <protection locked="0"/>
    </xf>
    <xf fontId="7" fillId="0" borderId="2" numFmtId="0" xfId="0" applyFont="1" applyBorder="1" applyAlignment="1" applyProtection="1">
      <alignment horizontal="center"/>
      <protection locked="0"/>
    </xf>
    <xf fontId="7" fillId="0" borderId="2" numFmtId="0" xfId="0" applyFont="1" applyBorder="1" applyProtection="1">
      <protection locked="0"/>
    </xf>
    <xf fontId="7" fillId="4" borderId="2" numFmtId="14" xfId="0" applyNumberFormat="1" applyFont="1" applyFill="1" applyBorder="1" applyAlignment="1" applyProtection="1">
      <alignment horizontal="center"/>
      <protection locked="0"/>
    </xf>
    <xf fontId="7" fillId="4" borderId="2" numFmtId="0" xfId="0" applyFont="1" applyFill="1" applyBorder="1" applyProtection="1">
      <protection locked="0"/>
    </xf>
    <xf fontId="7" fillId="4" borderId="8" numFmtId="0" xfId="0" applyFont="1" applyFill="1" applyBorder="1" applyAlignment="1" applyProtection="1">
      <alignment horizontal="center"/>
      <protection locked="0"/>
    </xf>
    <xf fontId="7" fillId="5" borderId="5" numFmtId="0" xfId="0" applyFont="1" applyFill="1" applyBorder="1" applyAlignment="1" applyProtection="1">
      <alignment horizontal="center"/>
      <protection locked="0"/>
    </xf>
    <xf fontId="7" fillId="5" borderId="4" numFmtId="0" xfId="0" applyFont="1" applyFill="1" applyBorder="1" applyAlignment="1" applyProtection="1">
      <alignment horizontal="center"/>
      <protection locked="0"/>
    </xf>
    <xf fontId="7" fillId="0" borderId="0" numFmtId="0" xfId="0" applyFont="1" applyAlignment="1" applyProtection="1">
      <alignment horizontal="center" vertical="top"/>
      <protection locked="0"/>
    </xf>
    <xf fontId="7" fillId="4" borderId="2" numFmtId="0" xfId="0" applyFont="1" applyFill="1" applyBorder="1" applyAlignment="1" applyProtection="1">
      <alignment horizontal="center"/>
      <protection locked="0"/>
    </xf>
    <xf fontId="7" fillId="0" borderId="2" numFmtId="0" xfId="0" applyFont="1" applyBorder="1" applyAlignment="1" applyProtection="1">
      <alignment wrapText="1"/>
      <protection locked="0"/>
    </xf>
    <xf fontId="0" fillId="0" borderId="0" numFmtId="0" xfId="0" applyAlignment="1" applyProtection="1">
      <alignment vertical="top" wrapText="1"/>
      <protection locked="0"/>
    </xf>
    <xf fontId="7" fillId="4" borderId="9" numFmtId="0" xfId="0" applyFont="1" applyFill="1" applyBorder="1" applyAlignment="1" applyProtection="1">
      <alignment horizontal="center" vertical="top" wrapText="1"/>
      <protection locked="0"/>
    </xf>
    <xf fontId="7" fillId="6" borderId="10" numFmtId="0" xfId="0" applyFont="1" applyFill="1" applyBorder="1" applyAlignment="1" applyProtection="1">
      <alignment horizontal="center" vertical="top" wrapText="1"/>
      <protection locked="0"/>
    </xf>
    <xf fontId="7" fillId="6" borderId="11" numFmtId="0" xfId="0" applyFont="1" applyFill="1" applyBorder="1" applyAlignment="1" applyProtection="1">
      <alignment horizontal="center" vertical="top" wrapText="1"/>
      <protection locked="0"/>
    </xf>
    <xf fontId="7" fillId="4" borderId="12" numFmtId="0" xfId="0" applyFont="1" applyFill="1" applyBorder="1" applyAlignment="1" applyProtection="1">
      <alignment horizontal="center" vertical="top" wrapText="1"/>
      <protection locked="0"/>
    </xf>
    <xf fontId="7" fillId="6" borderId="2" numFmtId="0" xfId="0" applyFont="1" applyFill="1" applyBorder="1" applyAlignment="1" applyProtection="1">
      <alignment horizontal="center" vertical="top" wrapText="1"/>
      <protection locked="0"/>
    </xf>
    <xf fontId="7" fillId="6" borderId="13" numFmtId="0" xfId="0" applyFont="1" applyFill="1" applyBorder="1" applyAlignment="1" applyProtection="1">
      <alignment horizontal="center" vertical="top" wrapText="1"/>
      <protection locked="0"/>
    </xf>
    <xf fontId="7" fillId="4" borderId="14" numFmtId="0" xfId="0" applyFont="1" applyFill="1" applyBorder="1" applyAlignment="1" applyProtection="1">
      <alignment horizontal="center" vertical="top" wrapText="1"/>
      <protection locked="0"/>
    </xf>
    <xf fontId="7" fillId="6" borderId="1" numFmtId="0" xfId="0" applyFont="1" applyFill="1" applyBorder="1" applyAlignment="1" applyProtection="1">
      <alignment horizontal="center" vertical="top" wrapText="1"/>
      <protection locked="0"/>
    </xf>
    <xf fontId="7" fillId="6" borderId="15" numFmtId="0" xfId="0" applyFont="1" applyFill="1" applyBorder="1" applyAlignment="1" applyProtection="1">
      <alignment horizontal="center" vertical="top" wrapText="1"/>
      <protection locked="0"/>
    </xf>
    <xf fontId="7" fillId="0" borderId="2" numFmtId="0" xfId="0" applyFont="1" applyBorder="1" applyAlignment="1" applyProtection="1">
      <alignment horizontal="center" vertical="center"/>
      <protection hidden="1" locked="0"/>
    </xf>
    <xf fontId="7" fillId="0" borderId="2" numFmtId="0" xfId="0" applyFont="1" applyBorder="1" applyAlignment="1" applyProtection="1">
      <alignment horizontal="center" vertical="center" wrapText="1"/>
      <protection hidden="1" locked="0"/>
    </xf>
    <xf fontId="7" fillId="0" borderId="2" numFmtId="161" xfId="0" applyNumberFormat="1" applyFont="1" applyBorder="1" applyAlignment="1" applyProtection="1">
      <alignment horizontal="center" vertical="center"/>
      <protection hidden="1" locked="0"/>
    </xf>
    <xf fontId="0" fillId="0" borderId="0" numFmtId="0" xfId="0" applyAlignment="1" applyProtection="1">
      <alignment horizontal="center" vertical="center"/>
      <protection locked="0"/>
    </xf>
    <xf fontId="7" fillId="7" borderId="2" numFmtId="0" xfId="0" applyFont="1" applyFill="1" applyBorder="1" applyAlignment="1" applyProtection="1">
      <alignment horizontal="center" vertical="center" wrapText="1"/>
      <protection hidden="1" locked="0"/>
    </xf>
    <xf fontId="8" fillId="7" borderId="2" numFmtId="161" xfId="0" applyNumberFormat="1" applyFont="1" applyFill="1" applyBorder="1" applyAlignment="1" applyProtection="1">
      <alignment horizontal="center" vertical="center"/>
      <protection hidden="1" locked="0"/>
    </xf>
    <xf fontId="7" fillId="7" borderId="2" numFmtId="0" xfId="0" applyFont="1" applyFill="1" applyBorder="1" applyAlignment="1" applyProtection="1">
      <alignment horizontal="center" vertical="center"/>
      <protection hidden="1" locked="0"/>
    </xf>
    <xf fontId="7" fillId="0" borderId="2" numFmtId="49" xfId="0" applyNumberFormat="1" applyFont="1" applyBorder="1" applyAlignment="1" applyProtection="1">
      <alignment horizontal="center" vertical="center" wrapText="1"/>
      <protection hidden="1" locked="0"/>
    </xf>
    <xf fontId="7" fillId="0" borderId="16" numFmtId="0" xfId="0" applyFont="1" applyBorder="1" applyAlignment="1" applyProtection="1">
      <alignment horizontal="center" vertical="center"/>
      <protection hidden="1" locked="0"/>
    </xf>
    <xf fontId="7" fillId="0" borderId="0" numFmtId="0" xfId="0" applyFont="1" applyAlignment="1" applyProtection="1">
      <alignment horizontal="center" vertical="center"/>
      <protection hidden="1" locked="0"/>
    </xf>
    <xf fontId="7" fillId="0" borderId="0" numFmtId="0" xfId="0" applyFont="1" applyAlignment="1" applyProtection="1">
      <alignment horizontal="center" vertical="center" wrapText="1"/>
      <protection hidden="1" locked="0"/>
    </xf>
    <xf fontId="7" fillId="0" borderId="0" numFmtId="161" xfId="0" applyNumberFormat="1" applyFont="1" applyAlignment="1" applyProtection="1">
      <alignment horizontal="center" vertical="center"/>
      <protection hidden="1" locked="0"/>
    </xf>
    <xf fontId="7" fillId="0" borderId="17" numFmtId="0" xfId="0" applyFont="1" applyBorder="1" applyAlignment="1" applyProtection="1">
      <alignment horizontal="center" vertical="center" wrapText="1"/>
      <protection hidden="1" locked="0"/>
    </xf>
    <xf fontId="7" fillId="7" borderId="18" numFmtId="0" xfId="0" applyFont="1" applyFill="1" applyBorder="1" applyAlignment="1" applyProtection="1">
      <alignment horizontal="center" vertical="center" wrapText="1"/>
      <protection hidden="1" locked="0"/>
    </xf>
    <xf fontId="7" fillId="7" borderId="19" numFmtId="0" xfId="0" applyFont="1" applyFill="1" applyBorder="1" applyAlignment="1" applyProtection="1">
      <alignment horizontal="center" vertical="center" wrapText="1"/>
      <protection hidden="1" locked="0"/>
    </xf>
    <xf fontId="8" fillId="7" borderId="19" numFmtId="161" xfId="0" applyNumberFormat="1" applyFont="1" applyFill="1" applyBorder="1" applyAlignment="1" applyProtection="1">
      <alignment horizontal="center" vertical="center"/>
      <protection hidden="1" locked="0"/>
    </xf>
    <xf fontId="7" fillId="7" borderId="0" numFmtId="0" xfId="0" applyFont="1" applyFill="1" applyAlignment="1" applyProtection="1">
      <alignment horizontal="center" vertical="center" wrapText="1"/>
      <protection hidden="1" locked="0"/>
    </xf>
    <xf fontId="7" fillId="7" borderId="0" numFmtId="0" xfId="0" applyFont="1" applyFill="1" applyAlignment="1" applyProtection="1">
      <alignment horizontal="center" vertical="center"/>
      <protection hidden="1" locked="0"/>
    </xf>
    <xf fontId="7" fillId="7" borderId="17" numFmtId="0" xfId="0" applyFont="1" applyFill="1" applyBorder="1" applyAlignment="1" applyProtection="1">
      <alignment horizontal="center" vertical="center"/>
      <protection hidden="1" locked="0"/>
    </xf>
    <xf fontId="7" fillId="0" borderId="16" numFmtId="0" xfId="0" applyFont="1" applyBorder="1" applyProtection="1">
      <protection hidden="1" locked="0"/>
    </xf>
    <xf fontId="7" fillId="0" borderId="0" numFmtId="0" xfId="0" applyFont="1" applyProtection="1">
      <protection hidden="1" locked="0"/>
    </xf>
    <xf fontId="7" fillId="0" borderId="0" numFmtId="0" xfId="0" applyFont="1" applyAlignment="1" applyProtection="1">
      <alignment wrapText="1"/>
      <protection hidden="1" locked="0"/>
    </xf>
    <xf fontId="7" fillId="0" borderId="0" numFmtId="161" xfId="0" applyNumberFormat="1" applyFont="1" applyAlignment="1" applyProtection="1">
      <alignment horizontal="center" vertical="top"/>
      <protection hidden="1" locked="0"/>
    </xf>
    <xf fontId="7" fillId="0" borderId="17" numFmtId="0" xfId="0" applyFont="1" applyBorder="1" applyAlignment="1" applyProtection="1">
      <alignment wrapText="1"/>
      <protection hidden="1" locked="0"/>
    </xf>
    <xf fontId="7" fillId="7" borderId="18" numFmtId="0" xfId="0" applyFont="1" applyFill="1" applyBorder="1" applyAlignment="1" applyProtection="1">
      <alignment horizontal="left" vertical="top" wrapText="1"/>
      <protection hidden="1" locked="0"/>
    </xf>
    <xf fontId="7" fillId="7" borderId="19" numFmtId="0" xfId="0" applyFont="1" applyFill="1" applyBorder="1" applyAlignment="1" applyProtection="1">
      <alignment horizontal="left" vertical="top" wrapText="1"/>
      <protection hidden="1" locked="0"/>
    </xf>
    <xf fontId="8" fillId="7" borderId="19" numFmtId="161" xfId="0" applyNumberFormat="1" applyFont="1" applyFill="1" applyBorder="1" applyAlignment="1" applyProtection="1">
      <alignment horizontal="center" vertical="top"/>
      <protection hidden="1" locked="0"/>
    </xf>
    <xf fontId="7" fillId="7" borderId="0" numFmtId="0" xfId="0" applyFont="1" applyFill="1" applyAlignment="1" applyProtection="1">
      <alignment wrapText="1"/>
      <protection hidden="1" locked="0"/>
    </xf>
    <xf fontId="7" fillId="7" borderId="0" numFmtId="0" xfId="0" applyFont="1" applyFill="1" applyProtection="1">
      <protection hidden="1" locked="0"/>
    </xf>
    <xf fontId="7" fillId="7" borderId="17" numFmtId="0" xfId="0" applyFont="1" applyFill="1" applyBorder="1" applyProtection="1">
      <protection hidden="1" locked="0"/>
    </xf>
    <xf fontId="8" fillId="0" borderId="20" numFmtId="0" xfId="0" applyFont="1" applyBorder="1" applyAlignment="1" applyProtection="1">
      <alignment horizontal="right"/>
      <protection hidden="1" locked="0"/>
    </xf>
    <xf fontId="8" fillId="0" borderId="21" numFmtId="0" xfId="0" applyFont="1" applyBorder="1" applyAlignment="1" applyProtection="1">
      <alignment horizontal="right"/>
      <protection hidden="1" locked="0"/>
    </xf>
    <xf fontId="8" fillId="0" borderId="22" numFmtId="162" xfId="0" applyNumberFormat="1" applyFont="1" applyBorder="1" applyAlignment="1" applyProtection="1">
      <alignment horizontal="center"/>
      <protection hidden="1" locked="0"/>
    </xf>
    <xf fontId="7" fillId="0" borderId="22" numFmtId="0" xfId="0" applyFont="1" applyBorder="1" applyAlignment="1" applyProtection="1">
      <alignment wrapText="1"/>
      <protection hidden="1" locked="0"/>
    </xf>
    <xf fontId="7" fillId="0" borderId="22" numFmtId="0" xfId="0" applyFont="1" applyBorder="1" applyProtection="1">
      <protection hidden="1" locked="0"/>
    </xf>
    <xf fontId="7" fillId="0" borderId="23" numFmtId="0" xfId="0" applyFont="1" applyBorder="1" applyAlignment="1" applyProtection="1">
      <alignment wrapText="1"/>
      <protection hidden="1" locked="0"/>
    </xf>
    <xf fontId="0" fillId="0" borderId="0" numFmtId="0" xfId="0" applyAlignment="1">
      <alignment vertical="top"/>
    </xf>
    <xf fontId="0" fillId="0" borderId="0" numFmtId="0" xfId="0" applyAlignment="1">
      <alignment horizontal="center" vertical="top" wrapText="1"/>
    </xf>
    <xf fontId="7" fillId="0" borderId="0" numFmtId="0" xfId="0" applyFont="1" applyAlignment="1">
      <alignment vertical="top"/>
    </xf>
    <xf fontId="7" fillId="0" borderId="0" numFmtId="0" xfId="0" applyFont="1" applyAlignment="1">
      <alignment horizontal="center" vertical="top" wrapText="1"/>
    </xf>
    <xf fontId="8" fillId="0" borderId="0" numFmtId="0" xfId="0" applyFont="1" applyAlignment="1">
      <alignment horizontal="center" vertical="top"/>
    </xf>
    <xf fontId="7" fillId="0" borderId="0" numFmtId="0" xfId="0" applyFont="1" applyAlignment="1">
      <alignment horizontal="center" vertical="top"/>
    </xf>
    <xf fontId="0" fillId="0" borderId="0" numFmtId="0" xfId="0" applyAlignment="1">
      <alignment vertical="top" wrapText="1"/>
    </xf>
    <xf fontId="0" fillId="0" borderId="0" numFmtId="49" xfId="0" applyNumberFormat="1" applyAlignment="1">
      <alignment horizontal="center" vertical="top" wrapText="1"/>
    </xf>
    <xf fontId="7" fillId="0" borderId="5" numFmtId="0" xfId="0" applyFont="1" applyBorder="1" applyAlignment="1">
      <alignment vertical="top" wrapText="1"/>
    </xf>
    <xf fontId="7" fillId="0" borderId="24" numFmtId="0" xfId="0" applyFont="1" applyBorder="1" applyAlignment="1">
      <alignment horizontal="center" vertical="top" wrapText="1"/>
    </xf>
    <xf fontId="7" fillId="0" borderId="25" numFmtId="0" xfId="0" applyFont="1" applyBorder="1" applyAlignment="1">
      <alignment horizontal="center" vertical="top" wrapText="1"/>
    </xf>
    <xf fontId="7" fillId="4" borderId="25" numFmtId="0" xfId="0" applyFont="1" applyFill="1" applyBorder="1" applyAlignment="1">
      <alignment horizontal="center" vertical="top" wrapText="1"/>
    </xf>
    <xf fontId="7" fillId="6" borderId="25" numFmtId="0" xfId="0" applyFont="1" applyFill="1" applyBorder="1" applyAlignment="1">
      <alignment horizontal="center" vertical="top" wrapText="1"/>
    </xf>
    <xf fontId="7" fillId="0" borderId="26" numFmtId="0" xfId="0" applyFont="1" applyBorder="1" applyAlignment="1">
      <alignment horizontal="center" vertical="top" wrapText="1"/>
    </xf>
    <xf fontId="0" fillId="6" borderId="0" numFmtId="0" xfId="0" applyFill="1" applyAlignment="1">
      <alignment vertical="top"/>
    </xf>
    <xf fontId="7" fillId="0" borderId="2" numFmtId="0" xfId="0" applyFont="1" applyBorder="1" applyAlignment="1">
      <alignment horizontal="left" vertical="center" wrapText="1"/>
    </xf>
    <xf fontId="7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center" vertical="center" wrapText="1"/>
    </xf>
    <xf fontId="0" fillId="0" borderId="2" numFmtId="0" xfId="0" applyBorder="1" applyAlignment="1">
      <alignment horizontal="center" vertical="center"/>
    </xf>
    <xf fontId="7" fillId="0" borderId="4" numFmtId="0" xfId="0" applyFont="1" applyBorder="1" applyAlignment="1">
      <alignment horizontal="center" vertical="center" wrapText="1"/>
    </xf>
    <xf fontId="7" fillId="0" borderId="1" numFmtId="49" xfId="0" applyNumberFormat="1" applyFont="1" applyBorder="1" applyAlignment="1">
      <alignment horizontal="left" vertical="center" wrapText="1"/>
    </xf>
    <xf fontId="7" fillId="0" borderId="1" numFmtId="0" xfId="0" applyFont="1" applyBorder="1" applyAlignment="1">
      <alignment horizontal="center" vertical="center"/>
    </xf>
    <xf fontId="7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/>
    </xf>
    <xf fontId="7" fillId="0" borderId="27" numFmtId="0" xfId="0" applyFont="1" applyBorder="1" applyAlignment="1">
      <alignment horizontal="center" vertical="center" wrapText="1"/>
    </xf>
    <xf fontId="0" fillId="0" borderId="2" numFmtId="0" xfId="0" applyBorder="1" applyAlignment="1">
      <alignment vertical="top"/>
    </xf>
    <xf fontId="7" fillId="0" borderId="2" numFmtId="0" xfId="0" applyFont="1" applyBorder="1" applyAlignment="1">
      <alignment vertical="top" wrapText="1"/>
    </xf>
    <xf fontId="0" fillId="0" borderId="2" numFmtId="0" xfId="0" applyBorder="1" applyAlignment="1">
      <alignment horizontal="center" vertical="top" wrapText="1"/>
    </xf>
    <xf fontId="0" fillId="0" borderId="2" numFmtId="0" xfId="0" applyBorder="1" applyAlignment="1">
      <alignment vertical="top" wrapText="1"/>
    </xf>
    <xf fontId="9" fillId="0" borderId="2" numFmtId="0" xfId="0" applyFont="1" applyBorder="1" applyAlignment="1">
      <alignment vertical="top" wrapText="1"/>
    </xf>
    <xf fontId="10" fillId="0" borderId="2" numFmtId="0" xfId="0" applyFont="1" applyBorder="1" applyAlignment="1">
      <alignment horizontal="left" vertical="center" wrapText="1"/>
    </xf>
    <xf fontId="7" fillId="0" borderId="2" numFmtId="0" xfId="0" applyFont="1" applyBorder="1" applyAlignment="1" applyProtection="1">
      <alignment horizontal="left" vertical="center" wrapText="1"/>
      <protection hidden="1" locked="0"/>
    </xf>
    <xf fontId="7" fillId="0" borderId="2" numFmtId="0" xfId="0" applyFont="1" applyBorder="1" applyAlignment="1">
      <alignment horizontal="center" vertical="top" wrapText="1"/>
    </xf>
    <xf fontId="7" fillId="0" borderId="2" numFmtId="0" xfId="0" applyFont="1" applyBorder="1" applyAlignment="1">
      <alignment vertical="top"/>
    </xf>
    <xf fontId="7" fillId="0" borderId="2" numFmtId="0" xfId="0" applyFont="1" applyBorder="1" applyAlignment="1">
      <alignment horizontal="left" vertical="center"/>
    </xf>
    <xf fontId="7" fillId="0" borderId="2" numFmtId="0" xfId="0" applyFont="1" applyBorder="1" applyAlignment="1">
      <alignment vertical="center" wrapText="1"/>
    </xf>
    <xf fontId="7" fillId="0" borderId="2" numFmtId="0" xfId="0" applyFont="1" applyBorder="1" applyAlignment="1">
      <alignment vertical="center"/>
    </xf>
    <xf fontId="9" fillId="0" borderId="0" numFmtId="0" xfId="0" applyFont="1" applyAlignment="1">
      <alignment vertical="top" wrapText="1"/>
    </xf>
    <xf fontId="0" fillId="4" borderId="0" numFmtId="0" xfId="0" applyFill="1" applyAlignment="1">
      <alignment vertical="top"/>
    </xf>
    <xf fontId="0" fillId="4" borderId="0" numFmtId="0" xfId="0" applyFill="1" applyAlignment="1">
      <alignment vertical="top" wrapText="1"/>
    </xf>
    <xf fontId="0" fillId="4" borderId="0" numFmtId="0" xfId="0" applyFill="1" applyAlignment="1">
      <alignment horizontal="center" vertical="top" wrapText="1"/>
    </xf>
    <xf fontId="0" fillId="4" borderId="0" numFmtId="0" xfId="0" applyFill="1" applyAlignment="1">
      <alignment horizontal="center" vertical="top"/>
    </xf>
    <xf fontId="11" fillId="0" borderId="0" numFmtId="0" xfId="0" applyFont="1" applyAlignment="1">
      <alignment horizontal="center" vertical="top"/>
    </xf>
    <xf fontId="11" fillId="0" borderId="0" numFmtId="0" xfId="0" applyFont="1" applyAlignment="1">
      <alignment horizontal="left" vertical="top"/>
    </xf>
    <xf fontId="7" fillId="0" borderId="0" numFmtId="0" xfId="0" applyFont="1"/>
    <xf fontId="8" fillId="0" borderId="0" numFmtId="0" xfId="0" applyFont="1" applyAlignment="1">
      <alignment horizontal="center"/>
    </xf>
    <xf fontId="7" fillId="8" borderId="28" numFmtId="0" xfId="0" applyFont="1" applyFill="1" applyBorder="1" applyAlignment="1">
      <alignment horizontal="center" vertical="top" wrapText="1"/>
    </xf>
    <xf fontId="7" fillId="0" borderId="10" numFmtId="0" xfId="0" applyFont="1" applyBorder="1" applyAlignment="1">
      <alignment horizontal="center" vertical="top" wrapText="1"/>
    </xf>
    <xf fontId="7" fillId="6" borderId="10" numFmtId="0" xfId="0" applyFont="1" applyFill="1" applyBorder="1" applyAlignment="1">
      <alignment horizontal="center" wrapText="1"/>
    </xf>
    <xf fontId="7" fillId="0" borderId="29" numFmtId="0" xfId="0" applyFont="1" applyBorder="1" applyAlignment="1">
      <alignment horizontal="center" vertical="top" wrapText="1"/>
    </xf>
    <xf fontId="0" fillId="0" borderId="0" numFmtId="0" xfId="0" applyAlignment="1">
      <alignment wrapText="1"/>
    </xf>
    <xf fontId="0" fillId="6" borderId="0" numFmtId="0" xfId="0" applyFill="1" applyAlignment="1">
      <alignment wrapText="1"/>
    </xf>
    <xf fontId="0" fillId="4" borderId="0" numFmtId="0" xfId="0" applyFill="1" applyAlignment="1">
      <alignment wrapText="1"/>
    </xf>
    <xf fontId="12" fillId="0" borderId="0" numFmtId="0" xfId="0" applyFont="1" applyAlignment="1">
      <alignment horizontal="center"/>
    </xf>
    <xf fontId="13" fillId="0" borderId="0" numFmtId="0" xfId="0" applyFont="1" applyAlignment="1">
      <alignment horizontal="center"/>
    </xf>
    <xf fontId="13" fillId="0" borderId="0" numFmtId="0" xfId="0" applyFont="1"/>
    <xf fontId="13" fillId="8" borderId="24" numFmtId="0" xfId="0" applyFont="1" applyFill="1" applyBorder="1" applyAlignment="1">
      <alignment horizontal="center" vertical="center" wrapText="1"/>
    </xf>
    <xf fontId="13" fillId="0" borderId="25" numFmtId="0" xfId="0" applyFont="1" applyBorder="1" applyAlignment="1">
      <alignment horizontal="center" vertical="center" wrapText="1"/>
    </xf>
    <xf fontId="13" fillId="8" borderId="26" numFmtId="0" xfId="0" applyFont="1" applyFill="1" applyBorder="1" applyAlignment="1">
      <alignment horizontal="center" vertical="center" wrapText="1"/>
    </xf>
    <xf fontId="13" fillId="0" borderId="0" numFmtId="0" xfId="0" applyFont="1" applyAlignment="1">
      <alignment horizontal="left" vertical="top" wrapText="1"/>
    </xf>
    <xf fontId="13" fillId="0" borderId="2" numFmtId="0" xfId="0" applyFont="1" applyBorder="1" applyAlignment="1">
      <alignment horizontal="center" vertical="center" wrapText="1"/>
    </xf>
    <xf fontId="0" fillId="4" borderId="0" numFmtId="0" xfId="0" applyFill="1" applyAlignment="1">
      <alignment horizontal="left" vertical="top" wrapText="1"/>
    </xf>
    <xf fontId="7" fillId="0" borderId="0" numFmtId="0" xfId="0" applyFont="1" applyAlignment="1">
      <alignment horizontal="left" vertical="top" wrapText="1"/>
    </xf>
    <xf fontId="8" fillId="0" borderId="0" numFmtId="0" xfId="0" applyFont="1" applyAlignment="1">
      <alignment horizontal="center" vertical="top" wrapText="1"/>
    </xf>
    <xf fontId="14" fillId="0" borderId="0" numFmtId="0" xfId="0" applyFont="1" applyAlignment="1">
      <alignment horizontal="center" vertical="top" wrapText="1"/>
    </xf>
    <xf fontId="7" fillId="8" borderId="30" numFmtId="0" xfId="0" applyFont="1" applyFill="1" applyBorder="1" applyAlignment="1">
      <alignment horizontal="center" vertical="center" wrapText="1"/>
    </xf>
    <xf fontId="7" fillId="0" borderId="31" numFmtId="0" xfId="0" applyFont="1" applyBorder="1" applyAlignment="1">
      <alignment horizontal="center" vertical="center" wrapText="1"/>
    </xf>
    <xf fontId="7" fillId="0" borderId="32" numFmtId="0" xfId="0" applyFont="1" applyBorder="1" applyAlignment="1">
      <alignment horizontal="center" vertical="top" wrapText="1"/>
    </xf>
    <xf fontId="7" fillId="0" borderId="28" numFmtId="0" xfId="0" applyFont="1" applyBorder="1" applyAlignment="1">
      <alignment horizontal="center" vertical="top" wrapText="1"/>
    </xf>
    <xf fontId="7" fillId="0" borderId="33" numFmtId="0" xfId="0" applyFont="1" applyBorder="1" applyAlignment="1">
      <alignment horizontal="center" vertical="top" wrapText="1"/>
    </xf>
    <xf fontId="7" fillId="8" borderId="34" numFmtId="0" xfId="0" applyFont="1" applyFill="1" applyBorder="1" applyAlignment="1">
      <alignment horizontal="center" vertical="center" wrapText="1"/>
    </xf>
    <xf fontId="7" fillId="0" borderId="3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top" wrapText="1"/>
    </xf>
    <xf fontId="7" fillId="0" borderId="5" numFmtId="0" xfId="0" applyFont="1" applyBorder="1" applyAlignment="1">
      <alignment horizontal="center" vertical="top" wrapText="1"/>
    </xf>
    <xf fontId="7" fillId="0" borderId="35" numFmtId="0" xfId="0" applyFont="1" applyBorder="1" applyAlignment="1">
      <alignment horizontal="center" vertical="top" wrapText="1"/>
    </xf>
    <xf fontId="7" fillId="0" borderId="4" numFmtId="0" xfId="0" applyFont="1" applyBorder="1" applyAlignment="1">
      <alignment horizontal="center" vertical="top" wrapText="1"/>
    </xf>
    <xf fontId="7" fillId="0" borderId="15" numFmtId="0" xfId="0" applyFont="1" applyBorder="1" applyAlignment="1">
      <alignment horizontal="center" vertical="top" wrapText="1"/>
    </xf>
    <xf fontId="7" fillId="0" borderId="3" numFmtId="0" xfId="0" applyFont="1" applyBorder="1" applyAlignment="1">
      <alignment horizontal="center" vertical="top" wrapText="1"/>
    </xf>
    <xf fontId="7" fillId="0" borderId="36" numFmtId="0" xfId="0" applyFont="1" applyBorder="1" applyAlignment="1">
      <alignment horizontal="center" vertical="top" wrapText="1"/>
    </xf>
    <xf fontId="7" fillId="0" borderId="16" numFmtId="0" xfId="0" applyFont="1" applyBorder="1" applyAlignment="1">
      <alignment horizontal="left" vertical="top" wrapText="1"/>
    </xf>
    <xf fontId="7" fillId="0" borderId="17" numFmtId="9" xfId="1" applyNumberFormat="1" applyFont="1" applyBorder="1" applyAlignment="1">
      <alignment horizontal="left" vertical="top" wrapText="1"/>
    </xf>
    <xf fontId="0" fillId="0" borderId="16" numFmtId="0" xfId="0" applyBorder="1" applyAlignment="1">
      <alignment horizontal="left" vertical="top" wrapText="1"/>
    </xf>
    <xf fontId="9" fillId="0" borderId="0" numFmtId="0" xfId="0" applyFont="1" applyAlignment="1">
      <alignment horizontal="left" vertical="top" wrapText="1"/>
    </xf>
    <xf fontId="0" fillId="0" borderId="17" numFmtId="9" xfId="1" applyNumberFormat="1" applyBorder="1" applyAlignment="1">
      <alignment horizontal="left" vertical="top" wrapText="1"/>
    </xf>
    <xf fontId="0" fillId="4" borderId="37" numFmtId="0" xfId="0" applyFill="1" applyBorder="1" applyAlignment="1">
      <alignment horizontal="left" vertical="top" wrapText="1"/>
    </xf>
    <xf fontId="9" fillId="4" borderId="22" numFmtId="0" xfId="0" applyFont="1" applyFill="1" applyBorder="1" applyAlignment="1">
      <alignment horizontal="left" vertical="top" wrapText="1"/>
    </xf>
    <xf fontId="0" fillId="4" borderId="22" numFmtId="0" xfId="0" applyFill="1" applyBorder="1" applyAlignment="1">
      <alignment horizontal="left" vertical="top" wrapText="1"/>
    </xf>
    <xf fontId="0" fillId="4" borderId="23" numFmtId="9" xfId="1" applyNumberFormat="1" applyFill="1" applyBorder="1" applyAlignment="1">
      <alignment horizontal="left" vertical="top" wrapText="1"/>
    </xf>
    <xf fontId="7" fillId="0" borderId="0" numFmtId="0" xfId="0" applyFont="1" applyAlignment="1">
      <alignment vertical="top" wrapText="1"/>
    </xf>
    <xf fontId="7" fillId="8" borderId="30" numFmtId="0" xfId="0" applyFont="1" applyFill="1" applyBorder="1" applyAlignment="1">
      <alignment horizontal="center" vertical="top" wrapText="1"/>
    </xf>
    <xf fontId="7" fillId="8" borderId="38" numFmtId="0" xfId="0" applyFont="1" applyFill="1" applyBorder="1" applyAlignment="1">
      <alignment horizontal="center" vertical="top" wrapText="1"/>
    </xf>
    <xf fontId="7" fillId="0" borderId="13" numFmtId="0" xfId="0" applyFont="1" applyBorder="1" applyAlignment="1">
      <alignment horizontal="center" vertical="top" wrapText="1"/>
    </xf>
    <xf fontId="7" fillId="0" borderId="16" numFmtId="0" xfId="0" applyFont="1" applyBorder="1" applyAlignment="1">
      <alignment vertical="top" wrapText="1"/>
    </xf>
    <xf fontId="7" fillId="0" borderId="17" numFmtId="0" xfId="0" applyFont="1" applyBorder="1" applyAlignment="1">
      <alignment vertical="top" wrapText="1"/>
    </xf>
    <xf fontId="7" fillId="0" borderId="2" numFmtId="161" xfId="0" applyNumberFormat="1" applyFont="1" applyBorder="1" applyAlignment="1">
      <alignment horizontal="center" vertical="center" wrapText="1"/>
    </xf>
    <xf fontId="7" fillId="0" borderId="2" numFmtId="161" xfId="0" applyNumberFormat="1" applyFont="1" applyBorder="1" applyAlignment="1">
      <alignment horizontal="center" vertical="top" wrapText="1"/>
    </xf>
    <xf fontId="0" fillId="0" borderId="0" numFmtId="49" xfId="0" applyNumberFormat="1" applyAlignment="1">
      <alignment vertical="top" wrapText="1"/>
    </xf>
    <xf fontId="7" fillId="0" borderId="0" numFmtId="161" xfId="0" applyNumberFormat="1" applyFont="1" applyAlignment="1">
      <alignment horizontal="center" vertical="top" wrapText="1"/>
    </xf>
    <xf fontId="7" fillId="0" borderId="17" numFmtId="161" xfId="0" applyNumberFormat="1" applyFont="1" applyBorder="1" applyAlignment="1">
      <alignment horizontal="center" vertical="top" wrapText="1"/>
    </xf>
    <xf fontId="0" fillId="0" borderId="16" numFmtId="0" xfId="0" applyBorder="1" applyAlignment="1">
      <alignment vertical="top" wrapText="1"/>
    </xf>
    <xf fontId="0" fillId="0" borderId="0" numFmtId="161" xfId="0" applyNumberFormat="1" applyAlignment="1">
      <alignment horizontal="center" vertical="top" wrapText="1"/>
    </xf>
    <xf fontId="0" fillId="0" borderId="17" numFmtId="161" xfId="0" applyNumberFormat="1" applyBorder="1" applyAlignment="1">
      <alignment horizontal="center" vertical="top" wrapText="1"/>
    </xf>
    <xf fontId="0" fillId="0" borderId="37" numFmtId="0" xfId="0" applyBorder="1" applyAlignment="1">
      <alignment vertical="top" wrapText="1"/>
    </xf>
    <xf fontId="0" fillId="0" borderId="22" numFmtId="0" xfId="0" applyBorder="1" applyAlignment="1">
      <alignment vertical="top" wrapText="1"/>
    </xf>
    <xf fontId="0" fillId="0" borderId="23" numFmtId="0" xfId="0" applyBorder="1" applyAlignment="1">
      <alignment vertical="top" wrapText="1"/>
    </xf>
    <xf fontId="11" fillId="0" borderId="0" numFmtId="0" xfId="0" applyFont="1" applyAlignment="1">
      <alignment vertical="top"/>
    </xf>
    <xf fontId="2" fillId="0" borderId="0" numFmtId="0" xfId="0" applyFont="1" applyAlignment="1">
      <alignment horizontal="center" vertical="top" wrapText="1"/>
    </xf>
    <xf fontId="0" fillId="8" borderId="30" numFmtId="0" xfId="0" applyFill="1" applyBorder="1" applyAlignment="1">
      <alignment horizontal="center" vertical="top" wrapText="1"/>
    </xf>
    <xf fontId="0" fillId="0" borderId="31" numFmtId="0" xfId="0" applyBorder="1" applyAlignment="1">
      <alignment horizontal="center" vertical="top" wrapText="1"/>
    </xf>
    <xf fontId="0" fillId="8" borderId="31" numFmtId="0" xfId="0" applyFill="1" applyBorder="1" applyAlignment="1">
      <alignment horizontal="center" vertical="top" wrapText="1"/>
    </xf>
    <xf fontId="0" fillId="0" borderId="39" numFmtId="0" xfId="0" applyBorder="1" applyAlignment="1">
      <alignment horizontal="center" vertical="top" wrapText="1"/>
    </xf>
    <xf fontId="0" fillId="0" borderId="2" numFmtId="0" xfId="0" applyBorder="1" applyAlignment="1">
      <alignment horizontal="left" vertical="top" wrapText="1"/>
    </xf>
    <xf fontId="15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left" vertical="top" wrapText="1"/>
    </xf>
    <xf fontId="7" fillId="0" borderId="0" numFmtId="0" xfId="0" applyFont="1" applyAlignment="1">
      <alignment horizontal="center" vertical="center" wrapText="1"/>
    </xf>
    <xf fontId="7" fillId="0" borderId="2" numFmtId="0" xfId="0" applyFont="1" applyBorder="1" applyAlignment="1" applyProtection="1">
      <alignment horizontal="left" vertical="top" wrapText="1"/>
      <protection hidden="1" locked="0"/>
    </xf>
    <xf fontId="7" fillId="8" borderId="24" numFmtId="0" xfId="0" applyFont="1" applyFill="1" applyBorder="1" applyAlignment="1">
      <alignment horizontal="center" vertical="top" wrapText="1"/>
    </xf>
    <xf fontId="7" fillId="8" borderId="25" numFmtId="0" xfId="0" applyFont="1" applyFill="1" applyBorder="1" applyAlignment="1">
      <alignment horizontal="center" vertical="top" wrapText="1"/>
    </xf>
    <xf fontId="7" fillId="8" borderId="26" numFmtId="0" xfId="0" applyFont="1" applyFill="1" applyBorder="1" applyAlignment="1">
      <alignment horizontal="center" vertical="top" wrapText="1"/>
    </xf>
    <xf fontId="0" fillId="0" borderId="0" numFmtId="0" xfId="0" applyAlignment="1">
      <alignment horizontal="center"/>
    </xf>
    <xf fontId="0" fillId="0" borderId="0" numFmtId="0" xfId="0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82">
    <dxf>
      <numFmt numFmtId="0" formatCode="General"/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fill>
        <patternFill patternType="solid">
          <fgColor theme="0" tint="-0.049989318521683403"/>
          <bgColor theme="0" tint="-0.04998931852168340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160" formatCode="#,##0.0\ _₽;\-#,##0.0\ _₽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160" formatCode="#,##0.0\ _₽;\-#,##0.0\ _₽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160" formatCode="#,##0.0\ _₽;\-#,##0.0\ _₽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numFmt numFmtId="0" formatCode="General"/>
      <border>
        <left style="thin">
          <color auto="1"/>
        </left>
        <right style="none"/>
        <top style="thin">
          <color auto="1"/>
        </top>
        <bottom style="thin">
          <color auto="1"/>
        </bottom>
        <diagonal style="none"/>
        <vertical style="none"/>
        <horizontal style="none"/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  <border>
        <left style="thin">
          <color auto="1"/>
        </left>
        <right style="none"/>
        <top style="thin">
          <color auto="1"/>
        </top>
        <bottom style="thin">
          <color auto="1"/>
        </bottom>
        <diagonal style="none"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alignment horizontal="center" indent="0" relativeIndent="0" shrinkToFit="0" textRotation="0" vertical="center" wrapText="0"/>
      <border>
        <left style="medium">
          <color auto="1"/>
        </left>
        <right style="none"/>
        <top style="none"/>
        <bottom style="none"/>
        <diagonal style="none"/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horizontal="center" indent="0" relativeIndent="0" shrinkToFit="0" textRotation="0" vertical="center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border>
        <left style="medium">
          <color auto="1"/>
        </left>
        <right style="none"/>
        <top style="none"/>
        <bottom style="none"/>
        <diagonal style="none"/>
      </border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indent="0" relativeIndent="0" shrinkToFit="0" textRotation="0" vertical="bottom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top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top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161" formatCode="#,##0.0\ _₽"/>
      <alignment horizontal="center" indent="0" relativeIndent="0" shrinkToFit="0" textRotation="0" vertical="top" wrapText="0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indent="0" relativeIndent="0" shrinkToFit="0" textRotation="0" vertical="bottom" wrapText="1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</dxf>
    <dxf>
      <font>
        <strike val="0"/>
        <u val="none"/>
        <vertAlign val="baseline"/>
        <sz val="12.000000"/>
        <color theme="1"/>
        <name val="Times New Roman"/>
        <scheme val="none"/>
      </font>
      <numFmt numFmtId="0" formatCode="General"/>
      <alignment indent="0" relativeIndent="0" shrinkToFit="0" textRotation="0" vertical="bottom" wrapText="1"/>
    </dxf>
    <dxf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horizontal="center" indent="0" relativeIndent="0" shrinkToFit="0" textRotation="0" vertical="top" wrapText="1"/>
    </dxf>
    <dxf>
      <alignment horizontal="center" indent="0" relativeIndent="0" shrinkToFit="0" textRotation="0" vertical="top" wrapText="1"/>
    </dxf>
    <dxf>
      <alignment horizontal="center" indent="0" relativeIndent="0" shrinkToFit="0" textRotation="0" vertical="top" wrapText="1"/>
    </dxf>
    <dxf>
      <fill>
        <patternFill patternType="solid">
          <fgColor indexed="65"/>
          <bgColor indexed="65"/>
        </patternFill>
      </fill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horizontal="center" indent="0" relativeIndent="0" shrinkToFit="0" textRotation="0" vertical="top" wrapText="0"/>
    </dxf>
    <dxf>
      <numFmt numFmtId="0" formatCode="General"/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indent="0" relativeIndent="0" shrinkToFit="0" textRotation="0" vertical="top" wrapText="0"/>
    </dxf>
    <dxf>
      <numFmt numFmtId="0" formatCode="General"/>
      <alignment indent="0" relativeIndent="0" shrinkToFit="0" textRotation="0" vertical="top" wrapText="0"/>
    </dxf>
    <dxf>
      <alignment indent="0" relativeIndent="0" shrinkToFit="0" textRotation="0" vertical="top" wrapText="0"/>
    </dxf>
    <dxf>
      <alignment horizontal="center" indent="0" relativeIndent="0" shrinkToFit="0" textRotation="0" vertical="top" wrapText="0"/>
    </dxf>
    <dxf>
      <fill>
        <patternFill patternType="solid">
          <fgColor theme="0" tint="-0.14999847407452621"/>
          <bgColor theme="0" tint="-0.14999847407452621"/>
        </patternFill>
      </fill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  <border>
        <left style="none"/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font>
        <b val="0"/>
        <i val="0"/>
        <strike val="0"/>
        <u val="none"/>
        <vertAlign val="baseline"/>
        <sz val="8.000000"/>
        <color theme="1"/>
        <name val="Calibri"/>
        <scheme val="minor"/>
      </font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  <border>
        <left style="thin">
          <color auto="1"/>
        </left>
        <right style="none"/>
        <top style="none"/>
        <bottom style="none"/>
        <diagonal style="none"/>
        <vertical style="thin">
          <color auto="1"/>
        </vertical>
        <horizontal style="none"/>
      </border>
    </dxf>
    <dxf>
      <alignment indent="0" relativeIndent="0" shrinkToFit="0" textRotation="0" vertical="top" wrapText="1"/>
      <border>
        <left style="none"/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indent="0" relativeIndent="0" shrinkToFit="0" textRotation="0" vertical="top" wrapText="1"/>
      <border>
        <left style="thin">
          <color auto="1"/>
        </left>
        <right style="thin">
          <color auto="1"/>
        </right>
        <top style="none"/>
        <bottom style="none"/>
        <diagonal style="none"/>
        <vertical style="thin">
          <color auto="1"/>
        </vertical>
        <horizontal style="none"/>
      </border>
    </dxf>
    <dxf>
      <alignment indent="0" relativeIndent="0" shrinkToFit="0" textRotation="0" vertical="top" wrapText="1"/>
      <border>
        <left style="thin">
          <color auto="1"/>
        </left>
        <right style="none"/>
        <top style="none"/>
        <bottom style="none"/>
        <diagonal style="none"/>
        <vertical style="thin">
          <color auto="1"/>
        </vertical>
        <horizontal style="none"/>
      </border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horizontal="left" indent="0" relativeIndent="0" shrinkToFit="0" textRotation="0" vertical="top" wrapText="1"/>
    </dxf>
    <dxf>
      <alignment indent="0" relativeIndent="0" shrinkToFit="0" textRotation="0" vertical="top" wrapText="1"/>
    </dxf>
    <dxf>
      <alignment indent="0" relativeIndent="0" shrinkToFit="0" textRotation="0" vertical="top" wrapText="1"/>
    </dxf>
    <dxf>
      <alignment indent="0" relativeIndent="0" shrinkToFit="0" textRotation="0" vertical="top" wrapText="1"/>
    </dxf>
    <dxf>
      <alignment indent="0" relativeIndent="0" shrinkToFit="0" textRotation="0" vertical="top" wrapText="1"/>
    </dxf>
    <dxf>
      <alignment indent="0" relativeIndent="0" shrinkToFit="0" textRotation="0" vertical="top" wrapText="1"/>
    </dxf>
    <dxf>
      <alignment horizontal="center" indent="0" relativeIndent="0" shrinkToFit="0" textRotation="0" vertical="top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1.xml"/><Relationship  Id="rId11" Type="http://schemas.openxmlformats.org/officeDocument/2006/relationships/worksheet" Target="worksheets/sheet9.xml"/><Relationship  Id="rId10" Type="http://schemas.openxmlformats.org/officeDocument/2006/relationships/worksheet" Target="worksheets/sheet8.xml"/><Relationship  Id="rId15" Type="http://schemas.openxmlformats.org/officeDocument/2006/relationships/sharedStrings" Target="sharedStrings.xml"/><Relationship  Id="rId9" Type="http://schemas.openxmlformats.org/officeDocument/2006/relationships/worksheet" Target="worksheets/sheet7.xml"/><Relationship  Id="rId8" Type="http://schemas.openxmlformats.org/officeDocument/2006/relationships/worksheet" Target="worksheets/sheet6.xml"/><Relationship  Id="rId7" Type="http://schemas.openxmlformats.org/officeDocument/2006/relationships/worksheet" Target="worksheets/sheet5.xml"/><Relationship  Id="rId14" Type="http://schemas.openxmlformats.org/officeDocument/2006/relationships/theme" Target="theme/theme1.xml"/><Relationship  Id="rId6" Type="http://schemas.openxmlformats.org/officeDocument/2006/relationships/worksheet" Target="worksheets/sheet4.xml"/><Relationship  Id="rId5" Type="http://schemas.openxmlformats.org/officeDocument/2006/relationships/worksheet" Target="worksheets/sheet3.xml"/><Relationship  Id="rId16" Type="http://schemas.openxmlformats.org/officeDocument/2006/relationships/styles" Target="styles.xml"/><Relationship  Id="rId4" Type="http://schemas.openxmlformats.org/officeDocument/2006/relationships/worksheet" Target="worksheets/sheet2.xml"/><Relationship  Id="rId12" Type="http://schemas.openxmlformats.org/officeDocument/2006/relationships/worksheet" Target="worksheets/sheet10.xml"/><Relationship  Id="rId3" Type="http://schemas.openxmlformats.org/officeDocument/2006/relationships/worksheet" Target="worksheets/sheet1.xml"/><Relationship  Id="rId2" Type="http://schemas.microsoft.com/office/2017/10/relationships/person" Target="persons/person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tvbu/Desktop/&#1056;&#1072;&#1073;&#1086;&#1095;&#1072;&#1103;%20(&#1041;&#1091;&#1088;&#1082;&#1080;&#1085;&#1072;)/&#1055;&#1083;&#1072;&#1085;%20&#1080;&#1085;&#1092;&#1086;&#1088;&#1084;&#1072;&#1090;&#1080;&#1079;&#1072;&#1094;&#1080;&#1080;/&#1050;&#1086;&#1084;&#1080;&#1090;&#1077;&#1090;%20&#1087;&#1086;%20&#1076;&#1077;&#1083;&#1072;&#1084;%20&#1072;&#1088;&#1093;&#1080;&#1074;&#1086;&#1074;/&#1050;&#1044;&#1040;%20&#1055;&#1083;&#1072;&#1085;%20&#1080;&#1085;&#1092;&#1086;&#1088;&#1084;&#1072;&#1090;&#1080;&#1079;&#1072;&#1094;&#1080;&#1080;%2029.01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Р 1. &quot;Общие сведения&quot;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dmin" id="{14E80990-838B-EBD9-EA92-68C61F8F7032}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Таблица26" ref="A8:O179" headerRowCount="0">
  <tableColumns count="15">
    <tableColumn id="1" name="Столбец1" dataDxfId="0"/>
    <tableColumn id="2" name="Столбец2" dataDxfId="1"/>
    <tableColumn id="3" name="Столбец3" dataDxfId="2"/>
    <tableColumn id="4" name="Столбец4" dataDxfId="3"/>
    <tableColumn id="5" name="Столбец5" dataDxfId="4"/>
    <tableColumn id="6" name="Столбец6" dataDxfId="5"/>
    <tableColumn id="7" name="Столбец7" dataDxfId="6"/>
    <tableColumn id="8" name="Столбец8" dataDxfId="7"/>
    <tableColumn id="9" name="Столбец9" dataDxfId="8"/>
    <tableColumn id="10" name="Столбец10" dataDxfId="9"/>
    <tableColumn id="11" name="Столбец11" dataDxfId="10"/>
    <tableColumn id="12" name="Столбец12" dataDxfId="11"/>
    <tableColumn id="13" name="Столбец13" dataDxfId="12"/>
    <tableColumn id="14" name="Столбец14" dataDxfId="13"/>
    <tableColumn id="15" name="Столбец15" dataDxfId="14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displayName="Таблица2" ref="D6:P180">
  <autoFilter ref="D6:P18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tableColumns count="13">
    <tableColumn id="1" name="Наименование объекта учета_x000a__x000a_(вводится вручную в соответствии с документом о вводе в эксплуатацию/о создании/иного документа)" totalsRowLabel="Итог" dataDxfId="127"/>
    <tableColumn id="2" name="Идентификатор объекта учета _x000a__x000a_(вводится вручную при наличии системы учета)" dataDxfId="128"/>
    <tableColumn id="3" name="Статус состояния объекта учета_x000a__x000a_(выбирается из выпадающего списка)" dataDxfId="129"/>
    <tableColumn id="4" name="Планируемый статус объекта учета_x000a__x000a_(выбирается из выпадающего списка)" dataDxfId="130"/>
    <tableColumn id="5" name="Тип мероприятия_x000a__x000a__x000a_(выбирается из выпадающего списка)" dataDxfId="131"/>
    <tableColumn id="6" name="Наименование мероприятия по информатизации_x000a__x000a_(формируется автоматически на основании наименования объекта учета и выбранного типа мероприятия)" dataDxfId="132"/>
    <tableColumn id="7" name="Уникальный номер мероприятия_x000a_(формируется автоматически)" dataDxfId="133"/>
    <tableColumn id="8" name="Приоритетное направление_x000a__x000a_(выбирается из выпадающего списка)" dataDxfId="134"/>
    <tableColumn id="9" name="Документ-основание_x000a__x000a_(вводится вручную)" dataDxfId="135"/>
    <tableColumn id="10" name="Ответственный за реализацию мероприятия _x000a_(Ф.И.О., должность, контактный телефон, электронная почта, вводится вручную)" dataDxfId="136"/>
    <tableColumn id="11" name="Информация в форме открытых данных_x000a__x000a_(вводится вручную)" dataDxfId="137"/>
    <tableColumn id="12" name="Обеспечение возможности размещения информации в форме открытых данных" dataDxfId="138"/>
    <tableColumn id="13" name="Дополнительная информация" totalsRowFunction="count" dataDxfId="139"/>
  </tableColumns>
  <tableStyleInfo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displayName="Таблица6" ref="A7:C180">
  <autoFilter ref="A7:C180"/>
  <tableColumns count="3">
    <tableColumn id="1" name="Столбец1" dataDxfId="140"/>
    <tableColumn id="2" name="Столбец2" dataDxfId="141"/>
    <tableColumn id="3" name="Столбец3" dataDxfId="14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displayName="Таблица3" ref="A6:G102" headerRowCount="0">
  <tableColumns count="7">
    <tableColumn id="1" name="Столбец1" totalsRowLabel="Итог" dataDxfId="143"/>
    <tableColumn id="2" name="Столбец2"/>
    <tableColumn id="3" name="Столбец3"/>
    <tableColumn id="4" name="Столбец4" dataDxfId="144"/>
    <tableColumn id="5" name="Столбец5"/>
    <tableColumn id="6" name="Столбец6"/>
    <tableColumn id="7" name="Столбец7"/>
  </tableColumns>
  <tableStyleInfo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displayName="Таблица4" ref="A5:E92">
  <autoFilter ref="A5:E92">
    <filterColumn colId="0" showButton="0"/>
    <filterColumn colId="1" showButton="0"/>
    <filterColumn colId="2" showButton="0"/>
    <filterColumn colId="3" showButton="0"/>
    <filterColumn colId="4" showButton="0"/>
  </autoFilter>
  <tableColumns count="5">
    <tableColumn id="1" name="Наименование мероприятия по информатизации_x000a__x000a_(выбирается из выпадающего списка, сформированного в разделе 1)" dataDxfId="145"/>
    <tableColumn id="2" name="Тип документа по информатизации" dataDxfId="146"/>
    <tableColumn id="3" name="Обоснование мероприятия по информатизации" dataDxfId="147"/>
    <tableColumn id="4" name="Наименование документа по информатизации" dataDxfId="148"/>
    <tableColumn id="5" name="Оценка мероприятия по информатизации_x000a__x000a_(выбирается из выпадающего списка)" dataDxfId="149"/>
  </tableColumns>
  <tableStyleInfo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displayName="Таблица7" ref="A8:J103">
  <autoFilter ref="A8:J10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tableColumns count="10">
    <tableColumn id="1" name="Столбец1" dataDxfId="150"/>
    <tableColumn id="2" name="Столбец2" dataDxfId="151"/>
    <tableColumn id="3" name="Столбец3" dataDxfId="152"/>
    <tableColumn id="4" name="Столбец4" dataDxfId="153"/>
    <tableColumn id="5" name="Столбец5" dataDxfId="154"/>
    <tableColumn id="6" name="Столбец6" dataDxfId="155"/>
    <tableColumn id="7" name="Столбец7" dataDxfId="156"/>
    <tableColumn id="8" name="Столбец8" dataDxfId="157"/>
    <tableColumn id="9" name="Столбец9" dataDxfId="158"/>
    <tableColumn id="10" name="Столбец10" dataDxfId="159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displayName="Таблица9" ref="A9:D89" headerRowCount="0">
  <tableColumns count="4">
    <tableColumn id="1" name="Столбец1" dataDxfId="160"/>
    <tableColumn id="2" name="Столбец2" dataDxfId="161"/>
    <tableColumn id="3" name="Столбец3" dataDxfId="162"/>
    <tableColumn id="4" name="Столбец4" dataDxfId="163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displayName="Таблица11" ref="A6:L82" headerRowCount="0">
  <tableColumns count="12">
    <tableColumn id="1" name="Столбец1" dataDxfId="164"/>
    <tableColumn id="2" name="Столбец2" dataDxfId="165"/>
    <tableColumn id="3" name="Столбец3" dataDxfId="166"/>
    <tableColumn id="4" name="Столбец4" dataDxfId="167"/>
    <tableColumn id="5" name="Столбец5" dataDxfId="168"/>
    <tableColumn id="6" name="Столбец6" dataDxfId="169"/>
    <tableColumn id="7" name="Столбец7" dataDxfId="170"/>
    <tableColumn id="8" name="Столбец8" dataDxfId="171"/>
    <tableColumn id="9" name="Столбец9" dataDxfId="172"/>
    <tableColumn id="10" name="Столбец10" dataDxfId="173"/>
    <tableColumn id="11" name="Столбец11" dataDxfId="174"/>
    <tableColumn id="12" name="Столбец12" dataDxfId="175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displayName="Таблица12" ref="A5:F98">
  <autoFilter ref="A5:F98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tableColumns count="6">
    <tableColumn id="1" name="Наименование мероприятия по информатизации_x000a__x000a_(выбирается из выпадающего списка, сформированного в разделе 1)" dataDxfId="176"/>
    <tableColumn id="2" name="Сведения об оценке мероприятия по информатизации_x000a_(выбирается из выпадающего списка)" dataDxfId="177"/>
    <tableColumn id="3" name="Изменение параметров мероприятия по информатизации_x000a_(выбирается из выпадающего списка)" dataDxfId="178"/>
    <tableColumn id="4" name="Вид закупки_x000a__x000a__x000a_(выбирается из выпадающего списка)" dataDxfId="179"/>
    <tableColumn id="5" name="Оценка мерпоириятия по информатизации_x000a_(выбирается из выпадающего списка)" dataDxfId="180"/>
    <tableColumn id="6" name="Последовательность включения в план информатизации_x000a_(выбирается из выпадающего списка)" dataDxfId="18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displayName="Таблица15" ref="A15:N17" headerRowCount="0">
  <tableColumns count="14">
    <tableColumn id="1" name="Столбец1" dataDxfId="15"/>
    <tableColumn id="2" name="Столбец2" dataDxfId="16"/>
    <tableColumn id="3" name="Столбец3" dataDxfId="17"/>
    <tableColumn id="4" name="Столбец4" dataDxfId="18"/>
    <tableColumn id="5" name="Столбец5" dataDxfId="19"/>
    <tableColumn id="6" name="Столбец6" dataDxfId="20"/>
    <tableColumn id="7" name="Столбец7" dataDxfId="21"/>
    <tableColumn id="8" name="Столбец8" dataDxfId="22"/>
    <tableColumn id="9" name="Столбец9" dataDxfId="23"/>
    <tableColumn id="10" name="Столбец10" dataDxfId="24"/>
    <tableColumn id="11" name="Столбец11" dataDxfId="25"/>
    <tableColumn id="12" name="Столбец12" dataDxfId="26"/>
    <tableColumn id="13" name="Столбец13" dataDxfId="27"/>
    <tableColumn id="14" name="Столбец14" dataDxfId="28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displayName="Таблица16" ref="A19:N25" headerRowCount="0">
  <tableColumns count="14">
    <tableColumn id="1" name="Столбец1" dataDxfId="29"/>
    <tableColumn id="2" name="Столбец2" dataDxfId="30"/>
    <tableColumn id="3" name="Столбец3" dataDxfId="31"/>
    <tableColumn id="4" name="Столбец4" dataDxfId="32"/>
    <tableColumn id="5" name="Столбец5" dataDxfId="33"/>
    <tableColumn id="6" name="Столбец6" dataDxfId="34"/>
    <tableColumn id="7" name="Столбец7" dataDxfId="35"/>
    <tableColumn id="8" name="Столбец8" dataDxfId="36"/>
    <tableColumn id="9" name="Столбец9" dataDxfId="37"/>
    <tableColumn id="10" name="Столбец10" dataDxfId="38"/>
    <tableColumn id="11" name="Столбец11" dataDxfId="39"/>
    <tableColumn id="12" name="Столбец12" dataDxfId="40"/>
    <tableColumn id="13" name="Столбец13" dataDxfId="41"/>
    <tableColumn id="14" name="Столбец14" dataDxfId="42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displayName="Таблица17" ref="A27:N30" headerRowCount="0">
  <tableColumns count="14">
    <tableColumn id="1" name="Столбец1" dataDxfId="43"/>
    <tableColumn id="2" name="Столбец2" dataDxfId="44"/>
    <tableColumn id="3" name="Столбец3" dataDxfId="45"/>
    <tableColumn id="4" name="Столбец4" dataDxfId="46"/>
    <tableColumn id="5" name="Столбец5" dataDxfId="47"/>
    <tableColumn id="6" name="Столбец6" dataDxfId="48"/>
    <tableColumn id="7" name="Столбец7" dataDxfId="49"/>
    <tableColumn id="8" name="Столбец8" dataDxfId="50"/>
    <tableColumn id="9" name="Столбец9" dataDxfId="51"/>
    <tableColumn id="10" name="Столбец10" dataDxfId="52"/>
    <tableColumn id="11" name="Столбец11" dataDxfId="53"/>
    <tableColumn id="12" name="Столбец12" dataDxfId="54"/>
    <tableColumn id="13" name="Столбец13" dataDxfId="55"/>
    <tableColumn id="14" name="Столбец14" dataDxfId="56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displayName="Таблица18" ref="A32:N38" headerRowCount="0">
  <tableColumns count="14">
    <tableColumn id="1" name="Столбец1" dataDxfId="57"/>
    <tableColumn id="2" name="Столбец2" dataDxfId="58"/>
    <tableColumn id="3" name="Столбец3" dataDxfId="59"/>
    <tableColumn id="4" name="Столбец4" dataDxfId="60"/>
    <tableColumn id="5" name="Столбец5" dataDxfId="61"/>
    <tableColumn id="6" name="Столбец6" dataDxfId="62"/>
    <tableColumn id="7" name="Столбец7" dataDxfId="63"/>
    <tableColumn id="8" name="Столбец8" dataDxfId="64"/>
    <tableColumn id="9" name="Столбец9" dataDxfId="65"/>
    <tableColumn id="10" name="Столбец10" dataDxfId="66"/>
    <tableColumn id="11" name="Столбец11" dataDxfId="67"/>
    <tableColumn id="12" name="Столбец12" dataDxfId="68"/>
    <tableColumn id="13" name="Столбец13" dataDxfId="69"/>
    <tableColumn id="14" name="Столбец14" dataDxfId="70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displayName="Таблица1821" ref="A40:N42" headerRowCount="0">
  <tableColumns count="14">
    <tableColumn id="1" name="Столбец1" dataDxfId="71"/>
    <tableColumn id="2" name="Столбец2" dataDxfId="72"/>
    <tableColumn id="3" name="Столбец3" dataDxfId="73"/>
    <tableColumn id="4" name="Столбец4" dataDxfId="74"/>
    <tableColumn id="5" name="Столбец5" dataDxfId="75"/>
    <tableColumn id="6" name="Столбец6" dataDxfId="76"/>
    <tableColumn id="7" name="Столбец7" dataDxfId="77"/>
    <tableColumn id="8" name="Столбец8" dataDxfId="78"/>
    <tableColumn id="9" name="Столбец9" dataDxfId="79"/>
    <tableColumn id="10" name="Столбец10" dataDxfId="80"/>
    <tableColumn id="11" name="Столбец11" dataDxfId="81"/>
    <tableColumn id="12" name="Столбец12" dataDxfId="82"/>
    <tableColumn id="13" name="Столбец13" dataDxfId="83"/>
    <tableColumn id="14" name="Столбец14" dataDxfId="84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displayName="Таблица182123" ref="A44:N53" headerRowCount="0">
  <tableColumns count="14">
    <tableColumn id="1" name="Столбец1" dataDxfId="85"/>
    <tableColumn id="2" name="Столбец2" dataDxfId="86"/>
    <tableColumn id="3" name="Столбец3" dataDxfId="87"/>
    <tableColumn id="4" name="Столбец4" dataDxfId="88"/>
    <tableColumn id="5" name="Столбец5" dataDxfId="89"/>
    <tableColumn id="6" name="Столбец6" dataDxfId="90"/>
    <tableColumn id="7" name="Столбец7" dataDxfId="91"/>
    <tableColumn id="8" name="Столбец8" dataDxfId="92"/>
    <tableColumn id="9" name="Столбец9" dataDxfId="93"/>
    <tableColumn id="10" name="Столбец10" dataDxfId="94"/>
    <tableColumn id="11" name="Столбец11" dataDxfId="95"/>
    <tableColumn id="12" name="Столбец12" dataDxfId="96"/>
    <tableColumn id="13" name="Столбец13" dataDxfId="97"/>
    <tableColumn id="14" name="Столбец14" dataDxfId="98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displayName="Таблица182124" ref="A55:N62" headerRowCount="0">
  <tableColumns count="14">
    <tableColumn id="1" name="Столбец1" dataDxfId="99"/>
    <tableColumn id="2" name="Столбец2" dataDxfId="100"/>
    <tableColumn id="3" name="Столбец3" dataDxfId="101"/>
    <tableColumn id="4" name="Столбец4" dataDxfId="102"/>
    <tableColumn id="5" name="Столбец5" dataDxfId="103"/>
    <tableColumn id="6" name="Столбец6" dataDxfId="104"/>
    <tableColumn id="7" name="Столбец7" dataDxfId="105"/>
    <tableColumn id="8" name="Столбец8" dataDxfId="106"/>
    <tableColumn id="9" name="Столбец9" dataDxfId="107"/>
    <tableColumn id="10" name="Столбец10" dataDxfId="108"/>
    <tableColumn id="11" name="Столбец11" dataDxfId="109"/>
    <tableColumn id="12" name="Столбец12" dataDxfId="110"/>
    <tableColumn id="13" name="Столбец13" dataDxfId="111"/>
    <tableColumn id="14" name="Столбец14" dataDxfId="112"/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displayName="Таблица18212325" ref="A64:N71" headerRowCount="0">
  <tableColumns count="14">
    <tableColumn id="1" name="Столбец1" dataDxfId="113"/>
    <tableColumn id="2" name="Столбец2" dataDxfId="114"/>
    <tableColumn id="3" name="Столбец3" dataDxfId="115"/>
    <tableColumn id="4" name="Столбец4" dataDxfId="116"/>
    <tableColumn id="5" name="Столбец5" dataDxfId="117"/>
    <tableColumn id="6" name="Столбец6" dataDxfId="118"/>
    <tableColumn id="7" name="Столбец7" dataDxfId="119"/>
    <tableColumn id="8" name="Столбец8" dataDxfId="120"/>
    <tableColumn id="9" name="Столбец9" dataDxfId="121"/>
    <tableColumn id="10" name="Столбец10" dataDxfId="122"/>
    <tableColumn id="11" name="Столбец11" dataDxfId="123"/>
    <tableColumn id="12" name="Столбец12" dataDxfId="124"/>
    <tableColumn id="13" name="Столбец13" dataDxfId="125"/>
    <tableColumn id="14" name="Столбец14" dataDxfId="126"/>
  </tableColumns>
  <tableStyleInfo showFirstColumn="0" showLastColumn="0" showRowStripes="0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01" personId="{14E80990-838B-EBD9-EA92-68C61F8F7032}" id="{00FF00FC-0049-4F10-804D-006C004400C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2" personId="{14E80990-838B-EBD9-EA92-68C61F8F7032}" id="{00C50060-0070-474F-AE4A-00760068002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3" personId="{14E80990-838B-EBD9-EA92-68C61F8F7032}" id="{0001001B-00DF-42C6-94E0-002F00B2006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4" personId="{14E80990-838B-EBD9-EA92-68C61F8F7032}" id="{002A0018-00CE-44C3-A17F-00B600E200F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5" personId="{14E80990-838B-EBD9-EA92-68C61F8F7032}" id="{00EB009E-00FC-4BDD-8823-00390015009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6" personId="{14E80990-838B-EBD9-EA92-68C61F8F7032}" id="{00330089-0049-419D-A3C4-0038004B00D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7" personId="{14E80990-838B-EBD9-EA92-68C61F8F7032}" id="{00B500C7-003C-4703-BCE6-000800E7006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8" personId="{14E80990-838B-EBD9-EA92-68C61F8F7032}" id="{006700DB-007E-40FF-A00B-0053003100A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9" personId="{14E80990-838B-EBD9-EA92-68C61F8F7032}" id="{0004005E-005C-44F9-843D-009500D5004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0" personId="{14E80990-838B-EBD9-EA92-68C61F8F7032}" id="{008A0079-004A-4549-8189-00A10061008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" personId="{14E80990-838B-EBD9-EA92-68C61F8F7032}" id="{009100B4-0069-423C-AA49-0031004F00A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1" personId="{14E80990-838B-EBD9-EA92-68C61F8F7032}" id="{00BC006D-005B-4DBF-9780-001A00CA00E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2" personId="{14E80990-838B-EBD9-EA92-68C61F8F7032}" id="{0003003C-0073-4098-A843-000E00F5003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3" personId="{14E80990-838B-EBD9-EA92-68C61F8F7032}" id="{00F1007A-005A-425B-8243-0078001200B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4" personId="{14E80990-838B-EBD9-EA92-68C61F8F7032}" id="{003D0054-0024-4403-B05A-002C00C2007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5" personId="{14E80990-838B-EBD9-EA92-68C61F8F7032}" id="{00FF00EE-0099-4C24-8929-0074006D008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6" personId="{14E80990-838B-EBD9-EA92-68C61F8F7032}" id="{0010007F-0028-45C2-81DA-006C00DF000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7" personId="{14E80990-838B-EBD9-EA92-68C61F8F7032}" id="{009000D2-0063-4CD9-A499-008700C6000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8" personId="{14E80990-838B-EBD9-EA92-68C61F8F7032}" id="{006100C6-007F-4AD6-9718-0008003700A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19" personId="{14E80990-838B-EBD9-EA92-68C61F8F7032}" id="{00AA00CE-00D5-431C-B10B-0089002A00A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0" personId="{14E80990-838B-EBD9-EA92-68C61F8F7032}" id="{00550071-0063-4F80-A2AA-007700F9003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" personId="{14E80990-838B-EBD9-EA92-68C61F8F7032}" id="{00A1000B-00C9-401D-83B6-00FA00E800A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1" personId="{14E80990-838B-EBD9-EA92-68C61F8F7032}" id="{009000CA-004C-4CCD-AB31-009400E500F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2" personId="{14E80990-838B-EBD9-EA92-68C61F8F7032}" id="{00C900F1-0065-470E-8005-0000008500B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3" personId="{14E80990-838B-EBD9-EA92-68C61F8F7032}" id="{00F70058-000C-4CD9-A05B-00F700AD003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4" personId="{14E80990-838B-EBD9-EA92-68C61F8F7032}" id="{001900AA-00FD-4E3E-9CB7-006800D7000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5" personId="{14E80990-838B-EBD9-EA92-68C61F8F7032}" id="{00310066-008B-424B-A0E5-0039003900D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6" personId="{14E80990-838B-EBD9-EA92-68C61F8F7032}" id="{008500A0-0031-4E01-BEBD-00A300E8002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7" personId="{14E80990-838B-EBD9-EA92-68C61F8F7032}" id="{0021007D-000C-40D6-9497-00B3006200A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8" personId="{14E80990-838B-EBD9-EA92-68C61F8F7032}" id="{005200BA-005D-4135-83CE-00CB000500B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29" personId="{14E80990-838B-EBD9-EA92-68C61F8F7032}" id="{002C0025-000C-48FC-B744-001F009500F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0" personId="{14E80990-838B-EBD9-EA92-68C61F8F7032}" id="{00060022-0020-41FD-B9DF-003800BA008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" personId="{14E80990-838B-EBD9-EA92-68C61F8F7032}" id="{00500009-0054-4741-9F63-0074009100E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1" personId="{14E80990-838B-EBD9-EA92-68C61F8F7032}" id="{00F90028-0049-427E-9D04-0074007F001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2" personId="{14E80990-838B-EBD9-EA92-68C61F8F7032}" id="{006B008E-00BF-4C5C-822A-00ED000E00C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3" personId="{14E80990-838B-EBD9-EA92-68C61F8F7032}" id="{007300C1-001C-410A-820E-00880063006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4" personId="{14E80990-838B-EBD9-EA92-68C61F8F7032}" id="{00A700A1-00AC-4CD9-9B4A-0002006E00F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5" personId="{14E80990-838B-EBD9-EA92-68C61F8F7032}" id="{00770089-00CF-4FD2-B159-005D00B0005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6" personId="{14E80990-838B-EBD9-EA92-68C61F8F7032}" id="{001300E9-008C-4174-A53B-006D000D00D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7" personId="{14E80990-838B-EBD9-EA92-68C61F8F7032}" id="{00F400C3-000D-4D31-ABF7-005B004B004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8" personId="{14E80990-838B-EBD9-EA92-68C61F8F7032}" id="{0054002F-001D-4EEF-B513-0025009600D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39" personId="{14E80990-838B-EBD9-EA92-68C61F8F7032}" id="{00B100D8-00B1-4F88-A11C-001C00FF004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0" personId="{14E80990-838B-EBD9-EA92-68C61F8F7032}" id="{004F007D-005C-414B-8824-006500F800A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" personId="{14E80990-838B-EBD9-EA92-68C61F8F7032}" id="{00640042-0056-49B9-AF22-008400D500A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1" personId="{14E80990-838B-EBD9-EA92-68C61F8F7032}" id="{00B30071-00D9-4C79-903E-007900DA00A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2" personId="{14E80990-838B-EBD9-EA92-68C61F8F7032}" id="{003D0077-00E2-48E4-9911-008A0028000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3" personId="{14E80990-838B-EBD9-EA92-68C61F8F7032}" id="{00450093-0015-48E9-9688-009E003800C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4" personId="{14E80990-838B-EBD9-EA92-68C61F8F7032}" id="{00D50013-0069-48EB-8B8D-00A90078001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5" personId="{14E80990-838B-EBD9-EA92-68C61F8F7032}" id="{004A00AE-00CA-4A6E-A5C6-0049003100B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6" personId="{14E80990-838B-EBD9-EA92-68C61F8F7032}" id="{004100AE-004B-4FED-B7E4-006F0095001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7" personId="{14E80990-838B-EBD9-EA92-68C61F8F7032}" id="{001D0073-00A1-4957-8013-00E0003600C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8" personId="{14E80990-838B-EBD9-EA92-68C61F8F7032}" id="{008500F1-00A5-408D-BE8C-00B4008D002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49" personId="{14E80990-838B-EBD9-EA92-68C61F8F7032}" id="{00E3002D-00D6-45E6-9C04-00DA007400D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0" personId="{14E80990-838B-EBD9-EA92-68C61F8F7032}" id="{00E600C5-00D4-4CAC-A03A-009300AC00F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" personId="{14E80990-838B-EBD9-EA92-68C61F8F7032}" id="{0028001B-0085-4BC9-9404-00A5005F003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1" personId="{14E80990-838B-EBD9-EA92-68C61F8F7032}" id="{00000065-00E6-479C-B86D-00F20059001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2" personId="{14E80990-838B-EBD9-EA92-68C61F8F7032}" id="{001A00E3-008F-4D3A-AC62-00210090000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3" personId="{14E80990-838B-EBD9-EA92-68C61F8F7032}" id="{00530003-0066-4B27-B8B9-00BD00D7004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4" personId="{14E80990-838B-EBD9-EA92-68C61F8F7032}" id="{001600B1-00CE-4CC0-B73B-009E0008005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5" personId="{14E80990-838B-EBD9-EA92-68C61F8F7032}" id="{00290080-00C2-4D87-A237-007C00BC002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6" personId="{14E80990-838B-EBD9-EA92-68C61F8F7032}" id="{00180017-00DF-4371-908A-00E300EE00F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7" personId="{14E80990-838B-EBD9-EA92-68C61F8F7032}" id="{00B100B1-00E7-4B68-AC0F-00B7007D008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8" personId="{14E80990-838B-EBD9-EA92-68C61F8F7032}" id="{0086009E-0040-45CC-B826-00AA00AD000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59" personId="{14E80990-838B-EBD9-EA92-68C61F8F7032}" id="{006E00C1-0072-42ED-A835-00C700A6003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0" personId="{14E80990-838B-EBD9-EA92-68C61F8F7032}" id="{00040010-00AD-4F93-8623-00EB00F4000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" personId="{14E80990-838B-EBD9-EA92-68C61F8F7032}" id="{00E90052-0075-4569-8DE1-00630081005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1" personId="{14E80990-838B-EBD9-EA92-68C61F8F7032}" id="{00270017-0041-4177-A8DF-00470005003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2" personId="{14E80990-838B-EBD9-EA92-68C61F8F7032}" id="{00E0005E-006F-43A5-9081-000E00A700F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3" personId="{14E80990-838B-EBD9-EA92-68C61F8F7032}" id="{00070017-00E0-4CA9-8ED6-0000000B00D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4" personId="{14E80990-838B-EBD9-EA92-68C61F8F7032}" id="{00DE007D-005A-455A-A1D2-003600D900E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5" personId="{14E80990-838B-EBD9-EA92-68C61F8F7032}" id="{0016007F-0061-4BB9-82F5-0005007600C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6" personId="{14E80990-838B-EBD9-EA92-68C61F8F7032}" id="{00A6009F-009F-41B7-8FC6-0017002800F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7" personId="{14E80990-838B-EBD9-EA92-68C61F8F7032}" id="{00490074-0062-49B9-B04B-00E9009B00F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8" personId="{14E80990-838B-EBD9-EA92-68C61F8F7032}" id="{00FD002B-001C-431B-8D91-004B0060001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69" personId="{14E80990-838B-EBD9-EA92-68C61F8F7032}" id="{00860001-00E1-46AB-982A-00E4006A00F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0" personId="{14E80990-838B-EBD9-EA92-68C61F8F7032}" id="{00E900CB-00EC-4329-9EAA-00AB008F00B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8" personId="{14E80990-838B-EBD9-EA92-68C61F8F7032}" id="{00790075-0023-43C7-BAD8-00DF00AF00A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1" personId="{14E80990-838B-EBD9-EA92-68C61F8F7032}" id="{00F1006F-001A-49CE-B428-006F000D00C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2" personId="{14E80990-838B-EBD9-EA92-68C61F8F7032}" id="{00F00046-008B-41A3-861C-004300F300A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3" personId="{14E80990-838B-EBD9-EA92-68C61F8F7032}" id="{00D0002C-003D-4205-B9D6-0092004600D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4" personId="{14E80990-838B-EBD9-EA92-68C61F8F7032}" id="{00280050-00F0-43ED-A819-005A00C7000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5" personId="{14E80990-838B-EBD9-EA92-68C61F8F7032}" id="{0016007E-0037-4055-AC13-000B0027002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6" personId="{14E80990-838B-EBD9-EA92-68C61F8F7032}" id="{007D0095-0047-4DAC-9C73-00EC0079007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7" personId="{14E80990-838B-EBD9-EA92-68C61F8F7032}" id="{00840008-0079-4C53-A1F1-009400B300C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8" personId="{14E80990-838B-EBD9-EA92-68C61F8F7032}" id="{0015005E-00CC-4320-9DC1-00720033000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79" personId="{14E80990-838B-EBD9-EA92-68C61F8F7032}" id="{005F00B3-0061-4BDE-A025-00460037001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80" personId="{14E80990-838B-EBD9-EA92-68C61F8F7032}" id="{00540035-00FD-4FCB-AED8-00A5006400E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9" personId="{14E80990-838B-EBD9-EA92-68C61F8F7032}" id="{00AD0068-006D-4AC2-A6C4-00500002005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0" personId="{14E80990-838B-EBD9-EA92-68C61F8F7032}" id="{002C00A8-008A-4419-9BA3-00790040001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4" personId="{14E80990-838B-EBD9-EA92-68C61F8F7032}" id="{00E100E2-0096-466E-AACD-007E00B8007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5" personId="{14E80990-838B-EBD9-EA92-68C61F8F7032}" id="{00B10050-00D3-4964-89A1-00C7009A00A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6" personId="{14E80990-838B-EBD9-EA92-68C61F8F7032}" id="{009F006F-0095-410A-94F3-0037001C007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7" personId="{14E80990-838B-EBD9-EA92-68C61F8F7032}" id="{00F10054-0057-4F61-AF95-00080054004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8" personId="{14E80990-838B-EBD9-EA92-68C61F8F7032}" id="{00B30024-0036-40E0-A8E1-004800BD00D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29" personId="{14E80990-838B-EBD9-EA92-68C61F8F7032}" id="{0033009C-0075-48F0-B333-005700B9006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0" personId="{14E80990-838B-EBD9-EA92-68C61F8F7032}" id="{0083008B-00F7-4E70-AA6C-006A000900B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1" personId="{14E80990-838B-EBD9-EA92-68C61F8F7032}" id="{00FB0053-00C8-4832-AA6E-000A005600F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2" personId="{14E80990-838B-EBD9-EA92-68C61F8F7032}" id="{00B4006C-0095-497C-B5A6-009600AC009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3" personId="{14E80990-838B-EBD9-EA92-68C61F8F7032}" id="{000E00E1-002F-4E89-AB7F-00BD00FA00E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4" personId="{14E80990-838B-EBD9-EA92-68C61F8F7032}" id="{002A00D1-000C-4905-8EE9-00050093002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5" personId="{14E80990-838B-EBD9-EA92-68C61F8F7032}" id="{007100EF-00C5-4C95-9CD8-004800B0009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6" personId="{14E80990-838B-EBD9-EA92-68C61F8F7032}" id="{000B0002-0099-4B4C-B2C7-003100EC005E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7" personId="{14E80990-838B-EBD9-EA92-68C61F8F7032}" id="{00690065-00E9-4237-8530-00C300C60092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8" personId="{14E80990-838B-EBD9-EA92-68C61F8F7032}" id="{00BC0088-00BA-45D2-A615-00D20023006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39" personId="{14E80990-838B-EBD9-EA92-68C61F8F7032}" id="{007B006E-0036-4E90-9B7A-008700C900B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0" personId="{14E80990-838B-EBD9-EA92-68C61F8F7032}" id="{00E2002D-002B-4558-85E8-00E100E500A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1" personId="{14E80990-838B-EBD9-EA92-68C61F8F7032}" id="{006D0072-008B-4002-96EB-002F0086000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2" personId="{14E80990-838B-EBD9-EA92-68C61F8F7032}" id="{006000FA-00EA-4DDE-9795-0097001F00D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3" personId="{14E80990-838B-EBD9-EA92-68C61F8F7032}" id="{00430019-0003-442E-BEF9-0092000900D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4" personId="{14E80990-838B-EBD9-EA92-68C61F8F7032}" id="{005E0037-0034-4AA6-98B2-006D00FF00F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5" personId="{14E80990-838B-EBD9-EA92-68C61F8F7032}" id="{0041004E-00FD-47F3-BB5B-00CA00A000C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6" personId="{14E80990-838B-EBD9-EA92-68C61F8F7032}" id="{003F006D-0085-4E32-8F14-001D00F1002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7" personId="{14E80990-838B-EBD9-EA92-68C61F8F7032}" id="{00EE0038-0015-4774-A401-003000D8009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8" personId="{14E80990-838B-EBD9-EA92-68C61F8F7032}" id="{00A90066-009A-4241-98CF-009F00A200D9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49" personId="{14E80990-838B-EBD9-EA92-68C61F8F7032}" id="{000F0041-0027-4E11-9126-005C007E005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0" personId="{14E80990-838B-EBD9-EA92-68C61F8F7032}" id="{0081002A-0071-47D4-BC38-002C00FF00C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1" personId="{14E80990-838B-EBD9-EA92-68C61F8F7032}" id="{00A70013-0052-466C-AB3A-0028009E006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2" personId="{14E80990-838B-EBD9-EA92-68C61F8F7032}" id="{00EB0003-0047-472E-B7E4-003D003600D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3" personId="{14E80990-838B-EBD9-EA92-68C61F8F7032}" id="{00FC0095-00F1-4A65-BAF4-00AD0086004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4" personId="{14E80990-838B-EBD9-EA92-68C61F8F7032}" id="{004D0079-0098-4FCE-92A8-008C00B3004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5" personId="{14E80990-838B-EBD9-EA92-68C61F8F7032}" id="{009400F1-00A3-431D-B949-004300C300D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6" personId="{14E80990-838B-EBD9-EA92-68C61F8F7032}" id="{004B0055-0021-4876-AB9C-00100023007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7" personId="{14E80990-838B-EBD9-EA92-68C61F8F7032}" id="{00320090-0044-48F5-9F6D-00840022002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8" personId="{14E80990-838B-EBD9-EA92-68C61F8F7032}" id="{00CB00A1-00E0-4F28-8A10-00040074002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59" personId="{14E80990-838B-EBD9-EA92-68C61F8F7032}" id="{00DD001C-00F0-438F-B6D7-004900AF0076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0" personId="{14E80990-838B-EBD9-EA92-68C61F8F7032}" id="{00F200A6-0012-4922-AD9C-00E000D1004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1" personId="{14E80990-838B-EBD9-EA92-68C61F8F7032}" id="{00D9007C-0006-49CB-A93B-00AA00B9006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2" personId="{14E80990-838B-EBD9-EA92-68C61F8F7032}" id="{002500EC-0033-42E8-9E15-005D00A900F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3" personId="{14E80990-838B-EBD9-EA92-68C61F8F7032}" id="{00AB00DA-0022-41CB-908D-000200CB00C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4" personId="{14E80990-838B-EBD9-EA92-68C61F8F7032}" id="{0008003C-0001-403A-BB8E-007500A900B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5" personId="{14E80990-838B-EBD9-EA92-68C61F8F7032}" id="{0018009F-0021-40EF-8703-00E800B2009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6" personId="{14E80990-838B-EBD9-EA92-68C61F8F7032}" id="{008000A0-0078-4C18-8E5E-005F00BC004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7" personId="{14E80990-838B-EBD9-EA92-68C61F8F7032}" id="{00260074-001F-4BD8-B714-0035007D004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8" personId="{14E80990-838B-EBD9-EA92-68C61F8F7032}" id="{00B40061-00D5-48C4-971A-00960011007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69" personId="{14E80990-838B-EBD9-EA92-68C61F8F7032}" id="{00180042-007B-4667-AB70-00040077004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0" personId="{14E80990-838B-EBD9-EA92-68C61F8F7032}" id="{00070006-0097-4FBF-9E96-00D20014008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" personId="{14E80990-838B-EBD9-EA92-68C61F8F7032}" id="{001E005A-0078-41CA-85E8-000D007200E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1" personId="{14E80990-838B-EBD9-EA92-68C61F8F7032}" id="{00750032-00D1-43BE-9F11-00AC002E008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2" personId="{14E80990-838B-EBD9-EA92-68C61F8F7032}" id="{000100AC-00FE-463D-8D28-00C6006F000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3" personId="{14E80990-838B-EBD9-EA92-68C61F8F7032}" id="{00DF0066-0077-46E6-9664-007E0019005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4" personId="{14E80990-838B-EBD9-EA92-68C61F8F7032}" id="{00C1005B-001F-4F86-812E-002D0047001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5" personId="{14E80990-838B-EBD9-EA92-68C61F8F7032}" id="{006F0072-00D1-4E53-919E-00A0003500A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6" personId="{14E80990-838B-EBD9-EA92-68C61F8F7032}" id="{00FA0027-0091-4079-A6D5-00F80002004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7" personId="{14E80990-838B-EBD9-EA92-68C61F8F7032}" id="{00330008-0002-4E94-816E-002B0033003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8" personId="{14E80990-838B-EBD9-EA92-68C61F8F7032}" id="{00310039-00F0-4937-9A12-0081002E0070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79" personId="{14E80990-838B-EBD9-EA92-68C61F8F7032}" id="{00CF00F0-00C8-4568-87E8-001800C0004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0" personId="{14E80990-838B-EBD9-EA92-68C61F8F7032}" id="{002B00F9-001B-4921-B71C-00600098009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" personId="{14E80990-838B-EBD9-EA92-68C61F8F7032}" id="{00EE0012-002E-4ED9-AA67-0070004D002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1" personId="{14E80990-838B-EBD9-EA92-68C61F8F7032}" id="{00290033-001F-47D1-AF60-00A000CA00A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2" personId="{14E80990-838B-EBD9-EA92-68C61F8F7032}" id="{0065001B-0045-4210-BA69-003C007D003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3" personId="{14E80990-838B-EBD9-EA92-68C61F8F7032}" id="{00BD006B-0086-483F-80A6-00C80099009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4" personId="{14E80990-838B-EBD9-EA92-68C61F8F7032}" id="{00E90031-00B6-47A5-B3DE-00A60046003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5" personId="{14E80990-838B-EBD9-EA92-68C61F8F7032}" id="{001F002F-00C0-4275-B6D1-00C1000B00B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6" personId="{14E80990-838B-EBD9-EA92-68C61F8F7032}" id="{005A003D-0030-4353-BECD-00D600D2000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7" personId="{14E80990-838B-EBD9-EA92-68C61F8F7032}" id="{00D800C5-00B9-49DA-8A1E-00F6006D00AB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8" personId="{14E80990-838B-EBD9-EA92-68C61F8F7032}" id="{009C0048-00B0-4719-A691-0005000F006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89" personId="{14E80990-838B-EBD9-EA92-68C61F8F7032}" id="{00ED00D8-008E-4A11-87FD-003E00CF00B7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0" personId="{14E80990-838B-EBD9-EA92-68C61F8F7032}" id="{00D5009C-0071-4C39-AEBA-00AC00290044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" personId="{14E80990-838B-EBD9-EA92-68C61F8F7032}" id="{006A00C1-00F3-4334-A321-0085008D00C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1" personId="{14E80990-838B-EBD9-EA92-68C61F8F7032}" id="{00A3004F-009C-4DFB-9E26-00B2007D006F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2" personId="{14E80990-838B-EBD9-EA92-68C61F8F7032}" id="{00800054-0080-4FB8-AA90-00AD000300A5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3" personId="{14E80990-838B-EBD9-EA92-68C61F8F7032}" id="{00FF0080-00F1-43CB-A7DA-008800E90073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4" personId="{14E80990-838B-EBD9-EA92-68C61F8F7032}" id="{00470051-0017-48A9-8B6D-00C6002F006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5" personId="{14E80990-838B-EBD9-EA92-68C61F8F7032}" id="{007A00E4-0068-4CFF-8938-00ED002900E8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6" personId="{14E80990-838B-EBD9-EA92-68C61F8F7032}" id="{00FF00ED-007E-416F-AF33-00D7000E000A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7" personId="{14E80990-838B-EBD9-EA92-68C61F8F7032}" id="{00000033-0096-4510-8BD3-0030007A001C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8" personId="{14E80990-838B-EBD9-EA92-68C61F8F7032}" id="{00EC0012-0012-41EC-A495-00F800EC001D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99" personId="{14E80990-838B-EBD9-EA92-68C61F8F7032}" id="{00F500F8-00F7-4980-BC7D-00070049004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  <threadedComment ref="K100" personId="{14E80990-838B-EBD9-EA92-68C61F8F7032}" id="{009200E9-0070-4140-AA8C-008400580071}" done="0">
    <text xml:space="preserve">Приоритетные направления развития ИКТ:
1.  Использование информационно-коммуникационных технологий для оптимизации процедур и повышения качества предоставления государственных и муниципальных услуг и исполнения государственных и муниципальных функций, в том числе с применением механизмов получения от граждан и организаций в электронном виде информации о качестве взаимодействия с органами исполнительной власти и органами местного самоуправления и подведомственными им учреждениями. 
2.  Использование типовых информационно-технологических сервисов и единой сети передачи данных, а также единого центра обработки данных. 
3.  Использование российских информационно-коммуникационных технологий и свободного программного обеспечения. 
4.  Защита информации, содержащейся в государственных и информационных системах, и обеспечение информационной безопасности при использовании информационно-коммуникационных технологий в 
деятельности органов  исполнительной власти и органов  местного самоуправления и подведомственных им учреждений. 
5.  Повышение качества и обеспечение доступности государственных информационных ресурсов, в том числе в форме открытых данных. 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personId="{14E80990-838B-EBD9-EA92-68C61F8F7032}" id="{00B800DB-0075-45CC-804A-0012001D0016}" done="0">
    <text xml:space="preserve">РАЗДЕЛ ЗАПОЛНЯЕТСЯ ДЛЯ МЕРОПРИЯТИЙ, НАПРАВЛЕННЫХ НА СОЗДАНИЕ И РАЗВИТИЕ ИС СПЕЦИАЛЬНОЙ И ТИПОВОЙ ДЕЯТЕЛЬНОСТИ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" personId="{14E80990-838B-EBD9-EA92-68C61F8F7032}" id="{00020047-0089-41C1-A497-009900570061}" done="0">
    <text xml:space="preserve">РАЗДЕЛ ЗАПОЛНЯЕТСЯ ТОЛЬКО ДЛЯ ПРИОРИТЕТНЫХ МЕРОПРИЯТИЙ ПО ИНФОРМАТИЗАЦИИ
</text>
  </threadedComment>
  <threadedComment ref="B11" personId="{14E80990-838B-EBD9-EA92-68C61F8F7032}" id="{00630091-003E-4532-B545-007B0049005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01" personId="{14E80990-838B-EBD9-EA92-68C61F8F7032}" id="{00240022-00F3-44D4-AEF0-000600AF00FD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02" personId="{14E80990-838B-EBD9-EA92-68C61F8F7032}" id="{00D600F4-0028-4452-B932-00DA002800D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03" personId="{14E80990-838B-EBD9-EA92-68C61F8F7032}" id="{00CA0017-0004-42CA-AD2D-006C00B900C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2" personId="{14E80990-838B-EBD9-EA92-68C61F8F7032}" id="{0097002D-00D0-474D-AC06-00860049005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3" personId="{14E80990-838B-EBD9-EA92-68C61F8F7032}" id="{009900EE-007A-4D63-8565-00C40023004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4" personId="{14E80990-838B-EBD9-EA92-68C61F8F7032}" id="{006C00A5-0013-4185-ADF6-0019007700F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5" personId="{14E80990-838B-EBD9-EA92-68C61F8F7032}" id="{007500B1-0052-4DA1-85EB-004800D9001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6" personId="{14E80990-838B-EBD9-EA92-68C61F8F7032}" id="{00590005-000E-459A-AF77-006B00C000F5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7" personId="{14E80990-838B-EBD9-EA92-68C61F8F7032}" id="{008300A8-00C8-43C6-B553-00700008002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8" personId="{14E80990-838B-EBD9-EA92-68C61F8F7032}" id="{00A30036-001F-456E-813E-0096007000E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9" personId="{14E80990-838B-EBD9-EA92-68C61F8F7032}" id="{002A005D-0059-4750-A275-00F5001D00B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0" personId="{14E80990-838B-EBD9-EA92-68C61F8F7032}" id="{00CF0060-00E1-4220-A440-00F3001600AD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1" personId="{14E80990-838B-EBD9-EA92-68C61F8F7032}" id="{000D0098-00C3-4703-B464-00D000C6002D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2" personId="{14E80990-838B-EBD9-EA92-68C61F8F7032}" id="{00A200EE-0032-4C13-99B1-001B007D004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3" personId="{14E80990-838B-EBD9-EA92-68C61F8F7032}" id="{00110062-0003-48DF-BA75-003A00EF003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4" personId="{14E80990-838B-EBD9-EA92-68C61F8F7032}" id="{00210088-002F-42E8-B307-00E600B3000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5" personId="{14E80990-838B-EBD9-EA92-68C61F8F7032}" id="{005C0005-0055-4A24-BC3F-00AD00C500D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6" personId="{14E80990-838B-EBD9-EA92-68C61F8F7032}" id="{00920016-0035-457E-A1F8-006E0005008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7" personId="{14E80990-838B-EBD9-EA92-68C61F8F7032}" id="{0053000A-0036-4F54-8993-00E000B6003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8" personId="{14E80990-838B-EBD9-EA92-68C61F8F7032}" id="{007800C3-00E2-41F8-8876-000C00FF009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29" personId="{14E80990-838B-EBD9-EA92-68C61F8F7032}" id="{009B0039-0065-4430-8A89-00CE006D00BD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0" personId="{14E80990-838B-EBD9-EA92-68C61F8F7032}" id="{009A00F6-0011-45B7-88BA-005800700049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1" personId="{14E80990-838B-EBD9-EA92-68C61F8F7032}" id="{0018009B-00DC-4BB9-8F76-00B000D9002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2" personId="{14E80990-838B-EBD9-EA92-68C61F8F7032}" id="{00FC005A-00E0-4D5A-9536-002D006300E5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3" personId="{14E80990-838B-EBD9-EA92-68C61F8F7032}" id="{00F0007A-00DA-4030-A0EF-00FD00270059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4" personId="{14E80990-838B-EBD9-EA92-68C61F8F7032}" id="{00E300D6-00AC-44C4-809E-00A100250001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5" personId="{14E80990-838B-EBD9-EA92-68C61F8F7032}" id="{0087005E-00DC-4315-8FC7-006F00C2008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6" personId="{14E80990-838B-EBD9-EA92-68C61F8F7032}" id="{00D40095-0013-4716-8DEB-00100045006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7" personId="{14E80990-838B-EBD9-EA92-68C61F8F7032}" id="{00830011-009E-4D2B-8514-00000059003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8" personId="{14E80990-838B-EBD9-EA92-68C61F8F7032}" id="{009400FE-00F0-4EAF-8050-0011008E003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39" personId="{14E80990-838B-EBD9-EA92-68C61F8F7032}" id="{00C9009B-001E-4E71-922E-00E800D8000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0" personId="{14E80990-838B-EBD9-EA92-68C61F8F7032}" id="{002900BB-0061-4532-AB42-007E000E00B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1" personId="{14E80990-838B-EBD9-EA92-68C61F8F7032}" id="{007D0046-0098-4E29-80A5-00A0006D00E0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2" personId="{14E80990-838B-EBD9-EA92-68C61F8F7032}" id="{00D600B5-00C4-4380-8275-007000120085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3" personId="{14E80990-838B-EBD9-EA92-68C61F8F7032}" id="{0005009A-008A-4AD4-A251-00E20083000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4" personId="{14E80990-838B-EBD9-EA92-68C61F8F7032}" id="{00220016-00B4-41B8-A9DE-003F00270060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5" personId="{14E80990-838B-EBD9-EA92-68C61F8F7032}" id="{00060060-00B0-4A33-A147-00A500C900D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6" personId="{14E80990-838B-EBD9-EA92-68C61F8F7032}" id="{00D10045-000F-473D-85B6-008500190061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7" personId="{14E80990-838B-EBD9-EA92-68C61F8F7032}" id="{006400A2-0008-4946-8FDB-0024002B0019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8" personId="{14E80990-838B-EBD9-EA92-68C61F8F7032}" id="{00E800EC-00F3-4AAF-8A6C-001B00F600D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49" personId="{14E80990-838B-EBD9-EA92-68C61F8F7032}" id="{004500A9-00CE-4C4F-B8A1-00D700D700A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0" personId="{14E80990-838B-EBD9-EA92-68C61F8F7032}" id="{00AC00F4-00BB-41F0-8CB8-0019000B005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1" personId="{14E80990-838B-EBD9-EA92-68C61F8F7032}" id="{000E00FC-0080-4ED0-AE72-0077003800C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2" personId="{14E80990-838B-EBD9-EA92-68C61F8F7032}" id="{00A20086-0006-4220-9191-00DA00E500B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3" personId="{14E80990-838B-EBD9-EA92-68C61F8F7032}" id="{00630067-00DA-4388-9C5E-00FE00FD00E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4" personId="{14E80990-838B-EBD9-EA92-68C61F8F7032}" id="{0090000B-00AF-4FA0-9E28-00F4005100F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5" personId="{14E80990-838B-EBD9-EA92-68C61F8F7032}" id="{002A00F1-00DA-4478-95BE-00A3001200A9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6" personId="{14E80990-838B-EBD9-EA92-68C61F8F7032}" id="{0079002C-00D4-4E12-87F5-0043005B007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7" personId="{14E80990-838B-EBD9-EA92-68C61F8F7032}" id="{008800E3-00BC-42E3-A625-00E100A5000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8" personId="{14E80990-838B-EBD9-EA92-68C61F8F7032}" id="{00A400D1-00D3-4056-84AB-00DE005100C0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59" personId="{14E80990-838B-EBD9-EA92-68C61F8F7032}" id="{00E100C7-00FE-4748-A169-00700022003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0" personId="{14E80990-838B-EBD9-EA92-68C61F8F7032}" id="{00950025-0047-488D-BA40-001F00C000A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1" personId="{14E80990-838B-EBD9-EA92-68C61F8F7032}" id="{00DA0065-005D-416A-B39D-00490036009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2" personId="{14E80990-838B-EBD9-EA92-68C61F8F7032}" id="{00110090-000F-4819-8EEA-009F0074003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3" personId="{14E80990-838B-EBD9-EA92-68C61F8F7032}" id="{005A00C6-00D4-4848-B119-00A600CE00F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4" personId="{14E80990-838B-EBD9-EA92-68C61F8F7032}" id="{001D00BB-0046-4F9A-B91D-0036007B00D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5" personId="{14E80990-838B-EBD9-EA92-68C61F8F7032}" id="{00840034-00A3-4A24-A66E-00FE0018002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6" personId="{14E80990-838B-EBD9-EA92-68C61F8F7032}" id="{00FE008E-004B-4EF1-8F8C-00FE002200F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7" personId="{14E80990-838B-EBD9-EA92-68C61F8F7032}" id="{00BE0038-0045-4C7F-A876-000C007F007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8" personId="{14E80990-838B-EBD9-EA92-68C61F8F7032}" id="{00390034-00BA-453F-992F-005000F6007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69" personId="{14E80990-838B-EBD9-EA92-68C61F8F7032}" id="{00AC009A-0077-4C19-A442-00C800B2003B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0" personId="{14E80990-838B-EBD9-EA92-68C61F8F7032}" id="{00940015-006F-40E6-9D3A-00C500C4007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1" personId="{14E80990-838B-EBD9-EA92-68C61F8F7032}" id="{00340063-0037-4CF5-AF29-006B009E003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2" personId="{14E80990-838B-EBD9-EA92-68C61F8F7032}" id="{001300D9-0089-4F86-B321-00350098003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3" personId="{14E80990-838B-EBD9-EA92-68C61F8F7032}" id="{007B00DD-00C2-4A52-96BF-006F006E005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4" personId="{14E80990-838B-EBD9-EA92-68C61F8F7032}" id="{00FA006B-0063-4E01-929B-00BA00C00041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5" personId="{14E80990-838B-EBD9-EA92-68C61F8F7032}" id="{00E50091-0093-46B2-B0D8-008B009100C9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6" personId="{14E80990-838B-EBD9-EA92-68C61F8F7032}" id="{00D000F2-009C-4877-A39C-00AC00C9007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7" personId="{14E80990-838B-EBD9-EA92-68C61F8F7032}" id="{00180046-006A-4BD6-AB8C-00BA00B3000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8" personId="{14E80990-838B-EBD9-EA92-68C61F8F7032}" id="{005900D8-000F-4A49-8E57-00A6008000E0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79" personId="{14E80990-838B-EBD9-EA92-68C61F8F7032}" id="{00F80008-0042-4ABF-9D2F-003400C200B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0" personId="{14E80990-838B-EBD9-EA92-68C61F8F7032}" id="{009B00C7-00DB-4E19-8B45-007F00F100D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" personId="{14E80990-838B-EBD9-EA92-68C61F8F7032}" id="{00AB001D-0059-4BAD-9453-007200EA00C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1" personId="{14E80990-838B-EBD9-EA92-68C61F8F7032}" id="{00D900A6-005C-4DC7-B318-0050006A00DC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2" personId="{14E80990-838B-EBD9-EA92-68C61F8F7032}" id="{00960010-002B-4E23-A7D1-002E0097007A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3" personId="{14E80990-838B-EBD9-EA92-68C61F8F7032}" id="{009A009F-002E-4274-8EC7-0074007800C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4" personId="{14E80990-838B-EBD9-EA92-68C61F8F7032}" id="{005E00AA-0075-48E0-86BE-005F00790034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5" personId="{14E80990-838B-EBD9-EA92-68C61F8F7032}" id="{00A1001B-0030-4481-A785-008200E800BB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6" personId="{14E80990-838B-EBD9-EA92-68C61F8F7032}" id="{00E700F3-0035-49E6-886C-0040007A00A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7" personId="{14E80990-838B-EBD9-EA92-68C61F8F7032}" id="{00F500C4-007E-4B90-96C7-005400C700F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8" personId="{14E80990-838B-EBD9-EA92-68C61F8F7032}" id="{00570034-00A8-4676-BC71-004900C900C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89" personId="{14E80990-838B-EBD9-EA92-68C61F8F7032}" id="{00DA0081-0075-4E81-9644-00020061000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0" personId="{14E80990-838B-EBD9-EA92-68C61F8F7032}" id="{001200F7-004A-4B11-BAA2-003400D200C4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0" personId="{14E80990-838B-EBD9-EA92-68C61F8F7032}" id="{00D5007C-00B1-4376-8FF0-00E6004400C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1" personId="{14E80990-838B-EBD9-EA92-68C61F8F7032}" id="{00BE0005-00D8-4B77-B315-00F80042000E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2" personId="{14E80990-838B-EBD9-EA92-68C61F8F7032}" id="{00AB001E-0011-4FCF-ADFE-0099003D004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3" personId="{14E80990-838B-EBD9-EA92-68C61F8F7032}" id="{00400066-0051-42AA-BE1E-00D000070057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4" personId="{14E80990-838B-EBD9-EA92-68C61F8F7032}" id="{00620010-00B1-482D-AAE6-00F4005800D6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5" personId="{14E80990-838B-EBD9-EA92-68C61F8F7032}" id="{00BC0063-00EF-42EC-AC53-0034004C008F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6" personId="{14E80990-838B-EBD9-EA92-68C61F8F7032}" id="{003D003B-00EE-4071-A15D-000F00E30004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7" personId="{14E80990-838B-EBD9-EA92-68C61F8F7032}" id="{00980086-0031-45BC-9687-00DD008100E8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8" personId="{14E80990-838B-EBD9-EA92-68C61F8F7032}" id="{00C300C8-0064-4BBD-9C57-0044006B00A3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99" personId="{14E80990-838B-EBD9-EA92-68C61F8F7032}" id="{00790097-00D4-4BDC-ADD2-00C4005000D2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  <threadedComment ref="B100" personId="{14E80990-838B-EBD9-EA92-68C61F8F7032}" id="{00B8001F-00F2-4C71-A708-002C00BD00C5}" done="0">
    <text xml:space="preserve">Для описания ожидаемых результатов мероприятия по информатизации указываются различные наборы сведений с учетом типа мероприятия по информатизации и классификационной категории объекта учета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1" personId="{14E80990-838B-EBD9-EA92-68C61F8F7032}" id="{00CC00F1-0000-4E26-B046-006E007C00F7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1" personId="{14E80990-838B-EBD9-EA92-68C61F8F7032}" id="{00CD002F-0057-4648-AEC1-000A00A300A1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2" personId="{14E80990-838B-EBD9-EA92-68C61F8F7032}" id="{004300A0-00D4-4D4C-8B86-002200A700FF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2" personId="{14E80990-838B-EBD9-EA92-68C61F8F7032}" id="{002100EB-00B4-442F-9CE6-00A000E600B9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3" personId="{14E80990-838B-EBD9-EA92-68C61F8F7032}" id="{001C00E9-006F-494F-813B-007100B4006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3" personId="{14E80990-838B-EBD9-EA92-68C61F8F7032}" id="{00430014-0007-43D6-B9A5-00B800320012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4" personId="{14E80990-838B-EBD9-EA92-68C61F8F7032}" id="{006800FB-0021-4664-A8C3-006900E30025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4" personId="{14E80990-838B-EBD9-EA92-68C61F8F7032}" id="{00A300C3-0088-4B8A-A93B-00CE002F00A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5" personId="{14E80990-838B-EBD9-EA92-68C61F8F7032}" id="{00CD00A0-00A8-424D-B435-000300E200BF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5" personId="{14E80990-838B-EBD9-EA92-68C61F8F7032}" id="{00060060-0014-4AA9-97DF-007A00AA0073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6" personId="{14E80990-838B-EBD9-EA92-68C61F8F7032}" id="{003000E1-0000-420B-BDE6-0078009C00E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6" personId="{14E80990-838B-EBD9-EA92-68C61F8F7032}" id="{00720096-00C7-4FD6-8202-009600B000DE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7" personId="{14E80990-838B-EBD9-EA92-68C61F8F7032}" id="{00B60006-0067-41DF-986A-004200400079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7" personId="{14E80990-838B-EBD9-EA92-68C61F8F7032}" id="{002A004C-0000-48F1-845B-003B008D0071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8" personId="{14E80990-838B-EBD9-EA92-68C61F8F7032}" id="{00C30098-0059-454A-9E96-0018003B00B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8" personId="{14E80990-838B-EBD9-EA92-68C61F8F7032}" id="{00B500AD-005B-431B-ABDF-00C200D000FD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19" personId="{14E80990-838B-EBD9-EA92-68C61F8F7032}" id="{00FC0061-0094-470C-837F-00F500380016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19" personId="{14E80990-838B-EBD9-EA92-68C61F8F7032}" id="{00D70020-00B5-4AB6-85C3-00C300440093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0" personId="{14E80990-838B-EBD9-EA92-68C61F8F7032}" id="{00480069-0014-4928-A27B-00110026003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0" personId="{14E80990-838B-EBD9-EA92-68C61F8F7032}" id="{00950050-002B-4B62-AF7D-001800F6008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1" personId="{14E80990-838B-EBD9-EA92-68C61F8F7032}" id="{00CA00FA-0017-44DD-8F20-00E60031001C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1" personId="{14E80990-838B-EBD9-EA92-68C61F8F7032}" id="{00340024-001A-4001-A6BF-00DA00350062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2" personId="{14E80990-838B-EBD9-EA92-68C61F8F7032}" id="{00E7009C-001A-4AAD-A53E-002B00C600EA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2" personId="{14E80990-838B-EBD9-EA92-68C61F8F7032}" id="{003A00C6-001F-42B2-9981-0062008C00F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3" personId="{14E80990-838B-EBD9-EA92-68C61F8F7032}" id="{00460019-00D8-4258-98F1-00DB00930015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3" personId="{14E80990-838B-EBD9-EA92-68C61F8F7032}" id="{006A00A0-0017-4CD9-B5F7-004800C9006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4" personId="{14E80990-838B-EBD9-EA92-68C61F8F7032}" id="{00CA0079-0051-4AE1-8687-002E0083004F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4" personId="{14E80990-838B-EBD9-EA92-68C61F8F7032}" id="{00CB0059-001F-4714-BA95-006600F900E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5" personId="{14E80990-838B-EBD9-EA92-68C61F8F7032}" id="{00980006-00C0-4A87-829A-009D00C50088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5" personId="{14E80990-838B-EBD9-EA92-68C61F8F7032}" id="{00A000DB-0094-4946-8612-00D40068002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6" personId="{14E80990-838B-EBD9-EA92-68C61F8F7032}" id="{00160048-00A2-4ECD-A9FD-00E100C600F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6" personId="{14E80990-838B-EBD9-EA92-68C61F8F7032}" id="{0070004F-0013-4A8F-A762-00ED00A500D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7" personId="{14E80990-838B-EBD9-EA92-68C61F8F7032}" id="{00E90008-00B5-4C72-B1C6-00F4003100F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7" personId="{14E80990-838B-EBD9-EA92-68C61F8F7032}" id="{00FF001E-0079-4150-ADBA-0048007B002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8" personId="{14E80990-838B-EBD9-EA92-68C61F8F7032}" id="{00F60050-00F5-4F78-B74A-000D00F5005C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8" personId="{14E80990-838B-EBD9-EA92-68C61F8F7032}" id="{005300F1-00E3-432B-B88D-00BE00F8005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29" personId="{14E80990-838B-EBD9-EA92-68C61F8F7032}" id="{00610068-00A0-4B20-901D-00A7003E00F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29" personId="{14E80990-838B-EBD9-EA92-68C61F8F7032}" id="{00AF00B1-00AE-4500-8794-006A006800F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0" personId="{14E80990-838B-EBD9-EA92-68C61F8F7032}" id="{009000DA-0033-49EA-9A14-007A007A001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0" personId="{14E80990-838B-EBD9-EA92-68C61F8F7032}" id="{00990087-0078-4AF0-8AC1-00A3005A00DE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1" personId="{14E80990-838B-EBD9-EA92-68C61F8F7032}" id="{0027006F-006A-4D99-8B44-00800054001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1" personId="{14E80990-838B-EBD9-EA92-68C61F8F7032}" id="{00D700DC-001C-485D-B24A-00030099001B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2" personId="{14E80990-838B-EBD9-EA92-68C61F8F7032}" id="{000C002E-0042-4F2C-8203-00F000BB00A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2" personId="{14E80990-838B-EBD9-EA92-68C61F8F7032}" id="{006D0059-00B8-4FE7-BEA2-0062003300F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3" personId="{14E80990-838B-EBD9-EA92-68C61F8F7032}" id="{00640062-00F9-4EE5-94E4-004500DB00BC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3" personId="{14E80990-838B-EBD9-EA92-68C61F8F7032}" id="{00A000E7-00A9-436F-9083-00DA0074001B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4" personId="{14E80990-838B-EBD9-EA92-68C61F8F7032}" id="{00930094-000C-4445-A2BE-00370022008F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4" personId="{14E80990-838B-EBD9-EA92-68C61F8F7032}" id="{00F500AE-008C-4417-B8DC-00C400EB004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5" personId="{14E80990-838B-EBD9-EA92-68C61F8F7032}" id="{003F008C-0037-4E0D-A2A6-00BF003B008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5" personId="{14E80990-838B-EBD9-EA92-68C61F8F7032}" id="{00310019-003E-423F-88E8-00B90063008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6" personId="{14E80990-838B-EBD9-EA92-68C61F8F7032}" id="{004D0054-0078-423D-B3F1-00160015006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6" personId="{14E80990-838B-EBD9-EA92-68C61F8F7032}" id="{005900D0-00DC-4D89-A217-009100EA002A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7" personId="{14E80990-838B-EBD9-EA92-68C61F8F7032}" id="{00E10034-000B-4E18-AE33-00B600DD000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7" personId="{14E80990-838B-EBD9-EA92-68C61F8F7032}" id="{00B300BB-00C4-44D4-8620-006600CD00D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8" personId="{14E80990-838B-EBD9-EA92-68C61F8F7032}" id="{006100B5-006D-461D-B140-005700FE00A3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8" personId="{14E80990-838B-EBD9-EA92-68C61F8F7032}" id="{00C20005-0091-4643-A6F8-00910098004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39" personId="{14E80990-838B-EBD9-EA92-68C61F8F7032}" id="{007100A1-005C-460E-B530-00F2002700B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39" personId="{14E80990-838B-EBD9-EA92-68C61F8F7032}" id="{004D0015-0021-4F37-B6D3-00AA001A0096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0" personId="{14E80990-838B-EBD9-EA92-68C61F8F7032}" id="{00F70000-00D5-40EC-9A56-00C0004400D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0" personId="{14E80990-838B-EBD9-EA92-68C61F8F7032}" id="{00580096-0091-4C4F-B829-008B005E0016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1" personId="{14E80990-838B-EBD9-EA92-68C61F8F7032}" id="{0018001C-0014-40F7-B946-003A00820015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1" personId="{14E80990-838B-EBD9-EA92-68C61F8F7032}" id="{0028006F-003F-496E-8DAB-004D00B1005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2" personId="{14E80990-838B-EBD9-EA92-68C61F8F7032}" id="{0039007E-0097-47B2-B2D9-001A004F0091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2" personId="{14E80990-838B-EBD9-EA92-68C61F8F7032}" id="{004200CB-00C6-41B5-8A52-004900A20029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3" personId="{14E80990-838B-EBD9-EA92-68C61F8F7032}" id="{00FE00ED-001A-4DDC-8020-0057005700BD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3" personId="{14E80990-838B-EBD9-EA92-68C61F8F7032}" id="{006B0011-0004-4F83-814F-001700FC009D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4" personId="{14E80990-838B-EBD9-EA92-68C61F8F7032}" id="{004D0074-009B-4377-8270-002C0087004D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4" personId="{14E80990-838B-EBD9-EA92-68C61F8F7032}" id="{00A900EB-0017-4C7B-9619-009100CD000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5" personId="{14E80990-838B-EBD9-EA92-68C61F8F7032}" id="{004A005C-0056-4FC4-9361-0012000C003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5" personId="{14E80990-838B-EBD9-EA92-68C61F8F7032}" id="{003F0042-005A-417D-8C66-00D0006200E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6" personId="{14E80990-838B-EBD9-EA92-68C61F8F7032}" id="{005B002D-00C9-4144-94C6-00C000540097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6" personId="{14E80990-838B-EBD9-EA92-68C61F8F7032}" id="{00B40040-006B-46AB-9828-002C0048003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7" personId="{14E80990-838B-EBD9-EA92-68C61F8F7032}" id="{002500B1-00B0-4DB8-80B5-0031000B00F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7" personId="{14E80990-838B-EBD9-EA92-68C61F8F7032}" id="{00CC004C-0028-4365-AD97-003F004B00D6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8" personId="{14E80990-838B-EBD9-EA92-68C61F8F7032}" id="{008C00F0-0009-4220-B981-009C001E00F8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8" personId="{14E80990-838B-EBD9-EA92-68C61F8F7032}" id="{008C0010-00AC-4E4C-9127-00E2007A0033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49" personId="{14E80990-838B-EBD9-EA92-68C61F8F7032}" id="{00B60033-0010-42BF-99C3-007C00BA0093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49" personId="{14E80990-838B-EBD9-EA92-68C61F8F7032}" id="{00390075-0056-4D42-A78E-002D001F00D9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0" personId="{14E80990-838B-EBD9-EA92-68C61F8F7032}" id="{00070004-0043-4B14-844A-0089004D00F7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0" personId="{14E80990-838B-EBD9-EA92-68C61F8F7032}" id="{005800A4-00C1-4567-85BF-007A00CA009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" personId="{14E80990-838B-EBD9-EA92-68C61F8F7032}" id="{00F500B2-005F-4527-8CC9-004F0049001D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" personId="{14E80990-838B-EBD9-EA92-68C61F8F7032}" id="{00410044-0092-4203-BE95-00BE00A200E3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1" personId="{14E80990-838B-EBD9-EA92-68C61F8F7032}" id="{0026002B-005E-4DE1-B431-00BD00830095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1" personId="{14E80990-838B-EBD9-EA92-68C61F8F7032}" id="{00AF0006-00CB-4B1C-80EF-00620047008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2" personId="{14E80990-838B-EBD9-EA92-68C61F8F7032}" id="{009C00E1-0082-4226-A9A9-00BA00CD008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2" personId="{14E80990-838B-EBD9-EA92-68C61F8F7032}" id="{00550046-0071-4CFC-8464-00A600290053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3" personId="{14E80990-838B-EBD9-EA92-68C61F8F7032}" id="{007E0042-0045-4D61-AEA6-00B6007A00F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3" personId="{14E80990-838B-EBD9-EA92-68C61F8F7032}" id="{006F0037-0007-4E28-8852-0074006900A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4" personId="{14E80990-838B-EBD9-EA92-68C61F8F7032}" id="{0041009D-0064-4697-97D3-003C00FF00D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4" personId="{14E80990-838B-EBD9-EA92-68C61F8F7032}" id="{0054007F-002F-46E9-8094-00C1002E00DB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5" personId="{14E80990-838B-EBD9-EA92-68C61F8F7032}" id="{00C900FC-00DD-44CA-8988-0086004900FA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5" personId="{14E80990-838B-EBD9-EA92-68C61F8F7032}" id="{000900C7-0008-47DE-B39F-00650086005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6" personId="{14E80990-838B-EBD9-EA92-68C61F8F7032}" id="{003C00A7-00ED-463B-A057-000B00830036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6" personId="{14E80990-838B-EBD9-EA92-68C61F8F7032}" id="{00D300F7-00ED-40EB-8828-007A00BE009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7" personId="{14E80990-838B-EBD9-EA92-68C61F8F7032}" id="{00FF0027-0010-406B-8117-0086001C00C3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7" personId="{14E80990-838B-EBD9-EA92-68C61F8F7032}" id="{0037003A-007D-412E-9525-00590063008A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8" personId="{14E80990-838B-EBD9-EA92-68C61F8F7032}" id="{00B60046-0003-401B-A8DB-00EF00C00011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8" personId="{14E80990-838B-EBD9-EA92-68C61F8F7032}" id="{00FB00F8-0093-470A-B1C8-009A0042002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59" personId="{14E80990-838B-EBD9-EA92-68C61F8F7032}" id="{0047000D-00C4-494B-BCFC-007F005C00D1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59" personId="{14E80990-838B-EBD9-EA92-68C61F8F7032}" id="{002300D9-004E-401F-858A-0018006700C8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0" personId="{14E80990-838B-EBD9-EA92-68C61F8F7032}" id="{00D700C4-008F-473D-9B0A-00B0001E00F6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0" personId="{14E80990-838B-EBD9-EA92-68C61F8F7032}" id="{00F300C8-000A-494F-981B-00EA002000F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" personId="{14E80990-838B-EBD9-EA92-68C61F8F7032}" id="{00C60067-007A-42AB-A48B-00150005006D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" personId="{14E80990-838B-EBD9-EA92-68C61F8F7032}" id="{00E400AF-0038-4BC1-99CB-002F00C200A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1" personId="{14E80990-838B-EBD9-EA92-68C61F8F7032}" id="{00CA00F4-00E2-4C72-A8DD-003A007200A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1" personId="{14E80990-838B-EBD9-EA92-68C61F8F7032}" id="{00F200EC-0063-4EBA-A176-006900FA009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2" personId="{14E80990-838B-EBD9-EA92-68C61F8F7032}" id="{00B00025-0053-4AE9-B466-007C00C400E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2" personId="{14E80990-838B-EBD9-EA92-68C61F8F7032}" id="{00CF00BB-00A4-4B06-8990-00150084007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3" personId="{14E80990-838B-EBD9-EA92-68C61F8F7032}" id="{00AC0078-00AA-4D6D-B704-00E800DD00F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3" personId="{14E80990-838B-EBD9-EA92-68C61F8F7032}" id="{00F600F7-0006-4668-997C-0034008E00AA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4" personId="{14E80990-838B-EBD9-EA92-68C61F8F7032}" id="{002000E8-00FD-49B7-933B-001000BC00F3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4" personId="{14E80990-838B-EBD9-EA92-68C61F8F7032}" id="{00E0008D-00FA-470B-A283-00E5006D0002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5" personId="{14E80990-838B-EBD9-EA92-68C61F8F7032}" id="{00B0003E-0009-4689-8820-00EF000E003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5" personId="{14E80990-838B-EBD9-EA92-68C61F8F7032}" id="{005000E6-005C-454D-BDDB-00C000EE009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6" personId="{14E80990-838B-EBD9-EA92-68C61F8F7032}" id="{00420085-00CA-41E4-BD06-00BD00C1006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6" personId="{14E80990-838B-EBD9-EA92-68C61F8F7032}" id="{004D00AC-004B-48D1-94F6-009E001E00B1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7" personId="{14E80990-838B-EBD9-EA92-68C61F8F7032}" id="{00FB0003-007E-4109-9185-00F30000009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7" personId="{14E80990-838B-EBD9-EA92-68C61F8F7032}" id="{001B00C6-0023-4877-B18C-009A004900EA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8" personId="{14E80990-838B-EBD9-EA92-68C61F8F7032}" id="{003F0043-00A1-4079-AD6E-004A003A00D2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8" personId="{14E80990-838B-EBD9-EA92-68C61F8F7032}" id="{003F005E-0081-4A61-8D91-000B00FD001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69" personId="{14E80990-838B-EBD9-EA92-68C61F8F7032}" id="{00B4000D-00F0-43F4-90DA-00BB001C00A1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69" personId="{14E80990-838B-EBD9-EA92-68C61F8F7032}" id="{007E00DD-0041-43EE-A33A-008B0007003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0" personId="{14E80990-838B-EBD9-EA92-68C61F8F7032}" id="{003F006B-0069-467D-A41D-0080009100A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0" personId="{14E80990-838B-EBD9-EA92-68C61F8F7032}" id="{00DE00EC-0082-49C2-BCFA-00F3007300A7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8" personId="{14E80990-838B-EBD9-EA92-68C61F8F7032}" id="{00690045-000C-48F8-A4B9-0027002D0089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8" personId="{14E80990-838B-EBD9-EA92-68C61F8F7032}" id="{0051009E-0038-48FC-97DD-001D00E900F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1" personId="{14E80990-838B-EBD9-EA92-68C61F8F7032}" id="{000400A6-0049-4A53-87CB-001100C800EB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1" personId="{14E80990-838B-EBD9-EA92-68C61F8F7032}" id="{00A20074-00A0-4FBB-858A-005B008F00FB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2" personId="{14E80990-838B-EBD9-EA92-68C61F8F7032}" id="{00130014-0070-432D-BBFC-00BB006D00F8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2" personId="{14E80990-838B-EBD9-EA92-68C61F8F7032}" id="{00AF00D2-0026-47E5-8F26-00D2004B00C5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3" personId="{14E80990-838B-EBD9-EA92-68C61F8F7032}" id="{00E60019-0071-40F3-B6EA-0007007600EA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3" personId="{14E80990-838B-EBD9-EA92-68C61F8F7032}" id="{00C100BB-0089-4E18-96DC-005200C5009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4" personId="{14E80990-838B-EBD9-EA92-68C61F8F7032}" id="{0008009F-004D-418A-B717-00820074005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4" personId="{14E80990-838B-EBD9-EA92-68C61F8F7032}" id="{00CC0041-00BD-4C74-BAB6-00B700A2001D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5" personId="{14E80990-838B-EBD9-EA92-68C61F8F7032}" id="{00DE002F-0080-4B74-A659-00E700D4005A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5" personId="{14E80990-838B-EBD9-EA92-68C61F8F7032}" id="{0055008D-005F-431D-B6A6-005A0070000F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6" personId="{14E80990-838B-EBD9-EA92-68C61F8F7032}" id="{000C0091-00C8-4C73-86C4-002E00430079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6" personId="{14E80990-838B-EBD9-EA92-68C61F8F7032}" id="{00210007-004C-4171-86E2-00D400FC0088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7" personId="{14E80990-838B-EBD9-EA92-68C61F8F7032}" id="{007800CE-0021-4986-82AE-009000AF0060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7" personId="{14E80990-838B-EBD9-EA92-68C61F8F7032}" id="{0036005A-00A1-4613-B7DE-00FD005300D8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8" personId="{14E80990-838B-EBD9-EA92-68C61F8F7032}" id="{00460030-00C9-4EEE-BCAB-0087004400FD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8" personId="{14E80990-838B-EBD9-EA92-68C61F8F7032}" id="{00D7006D-00BB-4EE3-B64F-00EF00C10090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79" personId="{14E80990-838B-EBD9-EA92-68C61F8F7032}" id="{00DC0040-003C-402E-9F8F-00CB006F008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79" personId="{14E80990-838B-EBD9-EA92-68C61F8F7032}" id="{008B006B-0037-4902-9F2D-000300D50081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80" personId="{14E80990-838B-EBD9-EA92-68C61F8F7032}" id="{00DF00C6-0038-4806-AE73-005400DE006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80" personId="{14E80990-838B-EBD9-EA92-68C61F8F7032}" id="{001600BB-00F2-40D2-8FAA-00D1005A00BC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9" personId="{14E80990-838B-EBD9-EA92-68C61F8F7032}" id="{00FE0099-00FD-4AC0-B5C3-005F00780034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9" personId="{14E80990-838B-EBD9-EA92-68C61F8F7032}" id="{00050039-00D8-4747-9D98-0042002D009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81" personId="{14E80990-838B-EBD9-EA92-68C61F8F7032}" id="{003300CB-00B9-4876-94A8-005E007C004E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81" personId="{14E80990-838B-EBD9-EA92-68C61F8F7032}" id="{007D0008-0008-41F3-B53D-0033005D0092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  <threadedComment ref="B82" personId="{14E80990-838B-EBD9-EA92-68C61F8F7032}" id="{00A500B8-0080-4F65-BD9C-0011003F0047}" done="0">
    <text xml:space="preserve">Порядковый номер товара, работы или соответственно услуги в рамках формируемого мероприятия по информатизации; указывается префикс соответственно "Т", "Р" или "У" и далее номер, начиная с 1
</text>
  </threadedComment>
  <threadedComment ref="E82" personId="{14E80990-838B-EBD9-EA92-68C61F8F7032}" id="{00340078-00FE-4AED-86B3-005600550094}" done="0">
    <text xml:space="preserve">Федеральный закон № 44-ФЗ, Статья 13. Цели осуществления закупок
В соответствии с настоящим Федеральным законом заказчиками осуществляются закупки для обеспечения федеральных нужд, нужд субъектов Российской Федерации и муниципальных нужд, а именно для:
1) достижения целей и реализации мероприятий, предусмотренных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субъектов Российской Федерации (в том числе региональными целевыми программами, иными документами стратегического и программно-целевого планирования субъектов Российской Федерации), муниципальными программами;
2) исполнения международных обязательств Российской Федерации, реализации межгосударственных целевых программ, участником которых является Российская Федерация, за исключением исполняемых в соответствии с пунктом 1 настоящей статьи государственных программ;
3) выполнения функций и полномочий государственных органов Российской Федерации, органов управления государственными внебюджетными фондами Российской Федерации, государственных органов субъектов Российской Федерации, органов управления территориальными внебюджетными фондами, муниципальных органов, за исключением выполняемых в соответствии с пунктами 1 и 2 настоящей статьи функций и полномочий.
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11" personId="{14E80990-838B-EBD9-EA92-68C61F8F7032}" id="{0059004F-007A-4603-BA16-00AE001E00F6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1" personId="{14E80990-838B-EBD9-EA92-68C61F8F7032}" id="{00D70005-0000-41F9-A43A-00340024000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1" personId="{14E80990-838B-EBD9-EA92-68C61F8F7032}" id="{00710018-002A-4D3F-BFA2-004A0051003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2" personId="{14E80990-838B-EBD9-EA92-68C61F8F7032}" id="{009500E4-0056-45E0-95CF-00F00025006A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2" personId="{14E80990-838B-EBD9-EA92-68C61F8F7032}" id="{007800D7-008D-4159-ADBF-00FB008200E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2" personId="{14E80990-838B-EBD9-EA92-68C61F8F7032}" id="{008E00F5-00F7-491E-A277-00950032008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3" personId="{14E80990-838B-EBD9-EA92-68C61F8F7032}" id="{00140055-0061-4713-8981-00BB005F0074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3" personId="{14E80990-838B-EBD9-EA92-68C61F8F7032}" id="{008600A1-00BE-4214-A967-00BD0019007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3" personId="{14E80990-838B-EBD9-EA92-68C61F8F7032}" id="{0029009A-00A2-4A6E-803C-00C200D4009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4" personId="{14E80990-838B-EBD9-EA92-68C61F8F7032}" id="{00830091-00C9-4664-9A15-004100E7008A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4" personId="{14E80990-838B-EBD9-EA92-68C61F8F7032}" id="{00DD00EF-008E-4EAB-B788-0089000E003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4" personId="{14E80990-838B-EBD9-EA92-68C61F8F7032}" id="{00C800AE-0075-4AEE-8434-003900E8005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5" personId="{14E80990-838B-EBD9-EA92-68C61F8F7032}" id="{009500DE-00A2-4E4B-9D38-00C9007A009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5" personId="{14E80990-838B-EBD9-EA92-68C61F8F7032}" id="{00DB0021-005F-43D3-A7B9-00FF00AB009D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5" personId="{14E80990-838B-EBD9-EA92-68C61F8F7032}" id="{00F5002F-009A-4B0E-B762-007B00C6001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6" personId="{14E80990-838B-EBD9-EA92-68C61F8F7032}" id="{00820053-0064-4475-84DC-002C00FB007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6" personId="{14E80990-838B-EBD9-EA92-68C61F8F7032}" id="{00E300EC-0073-4DF6-B45A-00D900DE007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6" personId="{14E80990-838B-EBD9-EA92-68C61F8F7032}" id="{00C100ED-00A1-4F74-AC0E-009900E6004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7" personId="{14E80990-838B-EBD9-EA92-68C61F8F7032}" id="{0084005D-006B-4744-BAB5-005A00EF009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7" personId="{14E80990-838B-EBD9-EA92-68C61F8F7032}" id="{00DD00D8-0073-46B1-8E07-005E00B9008A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7" personId="{14E80990-838B-EBD9-EA92-68C61F8F7032}" id="{003C000C-00FF-4E79-B948-00B9006600A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8" personId="{14E80990-838B-EBD9-EA92-68C61F8F7032}" id="{005B003C-0077-4B4E-8BBA-00D500000014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8" personId="{14E80990-838B-EBD9-EA92-68C61F8F7032}" id="{00B100C1-00EB-4256-B728-00EE00F1002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8" personId="{14E80990-838B-EBD9-EA92-68C61F8F7032}" id="{00000084-008B-4DAB-865E-0097008900F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9" personId="{14E80990-838B-EBD9-EA92-68C61F8F7032}" id="{00C80085-002C-48DC-A3AB-0033007C00C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9" personId="{14E80990-838B-EBD9-EA92-68C61F8F7032}" id="{00D10058-00CA-4D69-AF67-007C0061008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9" personId="{14E80990-838B-EBD9-EA92-68C61F8F7032}" id="{00A500A2-0000-4F4B-A666-00FF0034006C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0" personId="{14E80990-838B-EBD9-EA92-68C61F8F7032}" id="{001300A0-0092-496A-9888-009E00D50053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0" personId="{14E80990-838B-EBD9-EA92-68C61F8F7032}" id="{00AE00A1-00E4-4A25-AF2E-000D0087005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0" personId="{14E80990-838B-EBD9-EA92-68C61F8F7032}" id="{004C0087-0080-4FCE-83B9-00560071002C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1" personId="{14E80990-838B-EBD9-EA92-68C61F8F7032}" id="{0088004A-0094-452B-8616-0055002100E2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1" personId="{14E80990-838B-EBD9-EA92-68C61F8F7032}" id="{00400074-0072-4DF6-B32E-003C0004002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1" personId="{14E80990-838B-EBD9-EA92-68C61F8F7032}" id="{001700A6-000E-435E-9B75-001000EF00D2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2" personId="{14E80990-838B-EBD9-EA92-68C61F8F7032}" id="{00F40012-0083-4084-B95D-002A0099008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2" personId="{14E80990-838B-EBD9-EA92-68C61F8F7032}" id="{008100FF-008E-4EFF-97DE-00B7001E001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2" personId="{14E80990-838B-EBD9-EA92-68C61F8F7032}" id="{00AD0048-0011-4358-88F9-0039007E00EE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3" personId="{14E80990-838B-EBD9-EA92-68C61F8F7032}" id="{002A00DD-0092-498E-AC2A-0004001B00D2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3" personId="{14E80990-838B-EBD9-EA92-68C61F8F7032}" id="{00F00041-00B9-4193-84F6-00C2003F0025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3" personId="{14E80990-838B-EBD9-EA92-68C61F8F7032}" id="{00B8000A-00D6-4BCE-A169-00EF00940083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4" personId="{14E80990-838B-EBD9-EA92-68C61F8F7032}" id="{00820064-0059-4597-908E-005D00AA003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4" personId="{14E80990-838B-EBD9-EA92-68C61F8F7032}" id="{0010008E-0058-45BE-A8F3-00B1007500D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4" personId="{14E80990-838B-EBD9-EA92-68C61F8F7032}" id="{0069005B-000C-4904-9F31-00E400CD008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5" personId="{14E80990-838B-EBD9-EA92-68C61F8F7032}" id="{005600B3-0054-4EA0-AC5E-00C300EC00C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5" personId="{14E80990-838B-EBD9-EA92-68C61F8F7032}" id="{00E8000F-0030-44BB-8497-006F00F2009A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5" personId="{14E80990-838B-EBD9-EA92-68C61F8F7032}" id="{00F00001-0047-44F5-9D7B-00DE0064006C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6" personId="{14E80990-838B-EBD9-EA92-68C61F8F7032}" id="{008600AA-0063-40DE-84B3-005900A9003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6" personId="{14E80990-838B-EBD9-EA92-68C61F8F7032}" id="{00830041-00F0-4E7D-8663-00FC008C004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6" personId="{14E80990-838B-EBD9-EA92-68C61F8F7032}" id="{00070093-0080-44CD-A3BA-003900BD008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7" personId="{14E80990-838B-EBD9-EA92-68C61F8F7032}" id="{00F3007D-0049-483B-996A-00550050001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7" personId="{14E80990-838B-EBD9-EA92-68C61F8F7032}" id="{00700074-00A5-4729-B624-00E8003D00CD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7" personId="{14E80990-838B-EBD9-EA92-68C61F8F7032}" id="{006600FE-0092-466E-8122-006200DE00B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8" personId="{14E80990-838B-EBD9-EA92-68C61F8F7032}" id="{00060036-0030-4DD4-B0A3-00810074009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8" personId="{14E80990-838B-EBD9-EA92-68C61F8F7032}" id="{0041004C-0045-4498-B065-00DC00A1006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8" personId="{14E80990-838B-EBD9-EA92-68C61F8F7032}" id="{004E0002-00BC-4DEE-B82C-005B00EF00BB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29" personId="{14E80990-838B-EBD9-EA92-68C61F8F7032}" id="{00280030-0022-457A-B244-00BC00480083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29" personId="{14E80990-838B-EBD9-EA92-68C61F8F7032}" id="{000D0041-0028-4BD8-B1F5-0010007D004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29" personId="{14E80990-838B-EBD9-EA92-68C61F8F7032}" id="{000100B4-0024-4315-BA15-003C00C000D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0" personId="{14E80990-838B-EBD9-EA92-68C61F8F7032}" id="{0049009C-008F-4B34-9375-00790029009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0" personId="{14E80990-838B-EBD9-EA92-68C61F8F7032}" id="{00F00020-0088-4EAA-B36E-00D40034003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0" personId="{14E80990-838B-EBD9-EA92-68C61F8F7032}" id="{004600FC-0050-4EE2-B25D-00AE0041002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1" personId="{14E80990-838B-EBD9-EA92-68C61F8F7032}" id="{005C00FE-00CC-40B9-9222-003D001300E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1" personId="{14E80990-838B-EBD9-EA92-68C61F8F7032}" id="{00890089-0006-4903-94A4-0009005200D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1" personId="{14E80990-838B-EBD9-EA92-68C61F8F7032}" id="{00E70016-00AC-4905-A249-00700009006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2" personId="{14E80990-838B-EBD9-EA92-68C61F8F7032}" id="{00D700AE-0090-4AF8-8080-0022002800B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2" personId="{14E80990-838B-EBD9-EA92-68C61F8F7032}" id="{00790071-0026-4E8D-9837-00A60003004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2" personId="{14E80990-838B-EBD9-EA92-68C61F8F7032}" id="{00350013-0009-4563-8C64-00D400D1001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3" personId="{14E80990-838B-EBD9-EA92-68C61F8F7032}" id="{00350059-0076-4F93-A07E-0059002F0082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3" personId="{14E80990-838B-EBD9-EA92-68C61F8F7032}" id="{00E800A0-00D0-4825-AF05-0036009B008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3" personId="{14E80990-838B-EBD9-EA92-68C61F8F7032}" id="{00810057-001A-4197-AFF8-004100F9005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4" personId="{14E80990-838B-EBD9-EA92-68C61F8F7032}" id="{00750080-0080-425D-8F5B-00A2001000D6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4" personId="{14E80990-838B-EBD9-EA92-68C61F8F7032}" id="{00010033-00CF-415C-93B5-0057000E0027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4" personId="{14E80990-838B-EBD9-EA92-68C61F8F7032}" id="{00A2001B-00F8-426E-9498-00B00000001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5" personId="{14E80990-838B-EBD9-EA92-68C61F8F7032}" id="{009B00F6-0091-42E1-810E-00D4005B00A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5" personId="{14E80990-838B-EBD9-EA92-68C61F8F7032}" id="{00730019-0053-45F8-B631-003A0076009D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5" personId="{14E80990-838B-EBD9-EA92-68C61F8F7032}" id="{007300EA-009D-4169-A596-0031000E00D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6" personId="{14E80990-838B-EBD9-EA92-68C61F8F7032}" id="{002C0065-00F0-49DD-8BDD-005900C000F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6" personId="{14E80990-838B-EBD9-EA92-68C61F8F7032}" id="{00F00098-0071-4F73-B722-0028009200D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6" personId="{14E80990-838B-EBD9-EA92-68C61F8F7032}" id="{00540026-006B-4A3D-9D8E-0066006B00F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7" personId="{14E80990-838B-EBD9-EA92-68C61F8F7032}" id="{00B500C7-00CA-46C1-83C8-00B10097001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7" personId="{14E80990-838B-EBD9-EA92-68C61F8F7032}" id="{00AF00C6-00A0-4279-B37D-00F9004400AA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7" personId="{14E80990-838B-EBD9-EA92-68C61F8F7032}" id="{00A70083-00A4-4853-81DD-00050007005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8" personId="{14E80990-838B-EBD9-EA92-68C61F8F7032}" id="{004300EF-00AE-4D32-A61C-00EC0057006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8" personId="{14E80990-838B-EBD9-EA92-68C61F8F7032}" id="{00EC0012-003C-4C6C-9FF5-009D0011007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8" personId="{14E80990-838B-EBD9-EA92-68C61F8F7032}" id="{00530088-00F0-444A-AE21-005800F300B9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39" personId="{14E80990-838B-EBD9-EA92-68C61F8F7032}" id="{00E900FF-0010-428B-94E5-0032002100A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39" personId="{14E80990-838B-EBD9-EA92-68C61F8F7032}" id="{006600BB-0005-40E1-B482-009500A3007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39" personId="{14E80990-838B-EBD9-EA92-68C61F8F7032}" id="{00430013-00DD-4173-AFC2-00BE00E4007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0" personId="{14E80990-838B-EBD9-EA92-68C61F8F7032}" id="{003F00F2-00C9-4B59-A272-003D003400A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0" personId="{14E80990-838B-EBD9-EA92-68C61F8F7032}" id="{00DE0056-009F-4723-A7E1-00790047006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0" personId="{14E80990-838B-EBD9-EA92-68C61F8F7032}" id="{00E500D4-0058-4B52-B167-002900B500AE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1" personId="{14E80990-838B-EBD9-EA92-68C61F8F7032}" id="{00E00012-0093-48DD-ACD9-00DC0078009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1" personId="{14E80990-838B-EBD9-EA92-68C61F8F7032}" id="{009C004B-0011-47AD-BB15-00720071000C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1" personId="{14E80990-838B-EBD9-EA92-68C61F8F7032}" id="{00AD00CE-0038-4321-B67D-00A000E3001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2" personId="{14E80990-838B-EBD9-EA92-68C61F8F7032}" id="{00E90080-0090-468C-8972-007000F6009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2" personId="{14E80990-838B-EBD9-EA92-68C61F8F7032}" id="{00EB0056-0048-49B2-94E0-00BF0035007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2" personId="{14E80990-838B-EBD9-EA92-68C61F8F7032}" id="{009100DC-00B2-4D4E-A6B3-00BD0011006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3" personId="{14E80990-838B-EBD9-EA92-68C61F8F7032}" id="{007F00B1-00C2-478F-805C-0070005C004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3" personId="{14E80990-838B-EBD9-EA92-68C61F8F7032}" id="{009A0008-0093-4097-AD4E-003200CE00B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3" personId="{14E80990-838B-EBD9-EA92-68C61F8F7032}" id="{008D0028-00E3-4EFA-A982-002E0084008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4" personId="{14E80990-838B-EBD9-EA92-68C61F8F7032}" id="{004700ED-0092-4445-97F6-00E7007C003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4" personId="{14E80990-838B-EBD9-EA92-68C61F8F7032}" id="{007B0045-0027-4974-8929-00B1001A006A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4" personId="{14E80990-838B-EBD9-EA92-68C61F8F7032}" id="{001F00B4-004B-4B7B-91A2-003600A6009B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5" personId="{14E80990-838B-EBD9-EA92-68C61F8F7032}" id="{00ED00D0-004C-47BE-B067-00F200CB005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5" personId="{14E80990-838B-EBD9-EA92-68C61F8F7032}" id="{00E600C5-009B-4899-8584-00B80019000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5" personId="{14E80990-838B-EBD9-EA92-68C61F8F7032}" id="{00CA00D3-004E-41D9-988E-002B0085001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6" personId="{14E80990-838B-EBD9-EA92-68C61F8F7032}" id="{00A100CB-009F-4D40-AF15-004500E400C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6" personId="{14E80990-838B-EBD9-EA92-68C61F8F7032}" id="{00350096-006B-4706-B333-00D30073008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6" personId="{14E80990-838B-EBD9-EA92-68C61F8F7032}" id="{009500AE-00B3-4A52-AA06-00F70052006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7" personId="{14E80990-838B-EBD9-EA92-68C61F8F7032}" id="{009300A2-001F-4DC5-BA2E-00A5000500C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7" personId="{14E80990-838B-EBD9-EA92-68C61F8F7032}" id="{00470097-0076-4FEF-824F-002700F200B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7" personId="{14E80990-838B-EBD9-EA92-68C61F8F7032}" id="{008A00C1-0028-43D8-BF92-009900E5007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8" personId="{14E80990-838B-EBD9-EA92-68C61F8F7032}" id="{007C00EE-00C4-4D79-8424-006E008E00D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8" personId="{14E80990-838B-EBD9-EA92-68C61F8F7032}" id="{00FF00FC-0082-4E40-BDB5-00E90002001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8" personId="{14E80990-838B-EBD9-EA92-68C61F8F7032}" id="{003A005E-00BA-4190-8BF9-00A400360012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49" personId="{14E80990-838B-EBD9-EA92-68C61F8F7032}" id="{0016009B-006B-493E-A72B-000C008800C2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49" personId="{14E80990-838B-EBD9-EA92-68C61F8F7032}" id="{00C400CE-00B5-4A15-9684-00E3003600E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49" personId="{14E80990-838B-EBD9-EA92-68C61F8F7032}" id="{00360027-005F-4853-B6C9-00BD00E4008D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0" personId="{14E80990-838B-EBD9-EA92-68C61F8F7032}" id="{00A10069-0052-4429-90BA-0083001A004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0" personId="{14E80990-838B-EBD9-EA92-68C61F8F7032}" id="{0001006A-001C-463F-BFA5-00F400C300F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0" personId="{14E80990-838B-EBD9-EA92-68C61F8F7032}" id="{00950096-006E-4C2E-A7D2-001F00B0002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" personId="{14E80990-838B-EBD9-EA92-68C61F8F7032}" id="{005F006C-009E-4504-BD13-00EA001300A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" personId="{14E80990-838B-EBD9-EA92-68C61F8F7032}" id="{00A50000-0026-4DC4-993C-008E000400E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" personId="{14E80990-838B-EBD9-EA92-68C61F8F7032}" id="{00730077-0023-4DE3-A2A8-00180000008C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1" personId="{14E80990-838B-EBD9-EA92-68C61F8F7032}" id="{0016008E-00D7-43CD-82B1-00EA0065000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1" personId="{14E80990-838B-EBD9-EA92-68C61F8F7032}" id="{00A20013-0027-415D-AC3A-003800F700E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1" personId="{14E80990-838B-EBD9-EA92-68C61F8F7032}" id="{006E006A-001E-4868-B224-008B005E006B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2" personId="{14E80990-838B-EBD9-EA92-68C61F8F7032}" id="{0093000A-0068-4733-ADDD-004100A6001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2" personId="{14E80990-838B-EBD9-EA92-68C61F8F7032}" id="{007000FE-00D8-44F8-B5CC-000B00BD001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2" personId="{14E80990-838B-EBD9-EA92-68C61F8F7032}" id="{00280064-00E2-4E66-A3E6-006E00F800DD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3" personId="{14E80990-838B-EBD9-EA92-68C61F8F7032}" id="{002300F1-0022-421E-AC1E-0043008F006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3" personId="{14E80990-838B-EBD9-EA92-68C61F8F7032}" id="{0089006B-00D3-4D36-82EA-0037001D002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3" personId="{14E80990-838B-EBD9-EA92-68C61F8F7032}" id="{00CA002D-0059-47BA-93CC-004C002100F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4" personId="{14E80990-838B-EBD9-EA92-68C61F8F7032}" id="{001900A7-00B8-4126-87C0-0056007F001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4" personId="{14E80990-838B-EBD9-EA92-68C61F8F7032}" id="{00EC00DB-001A-4CED-9BCE-007E00FF007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4" personId="{14E80990-838B-EBD9-EA92-68C61F8F7032}" id="{007E00E1-004D-4EF5-877B-00C200CC002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5" personId="{14E80990-838B-EBD9-EA92-68C61F8F7032}" id="{004D0064-0042-4818-B356-007300F7000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5" personId="{14E80990-838B-EBD9-EA92-68C61F8F7032}" id="{009D0023-008F-42A5-BF71-00B600F2001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5" personId="{14E80990-838B-EBD9-EA92-68C61F8F7032}" id="{00F20071-00EE-4EDD-99DC-00040016000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6" personId="{14E80990-838B-EBD9-EA92-68C61F8F7032}" id="{009A00B5-00BC-4F76-A535-00AA001D00B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6" personId="{14E80990-838B-EBD9-EA92-68C61F8F7032}" id="{002100EB-007B-461C-AF14-004900A800EC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6" personId="{14E80990-838B-EBD9-EA92-68C61F8F7032}" id="{00DA0021-0051-4FEB-B69E-005700BB005E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7" personId="{14E80990-838B-EBD9-EA92-68C61F8F7032}" id="{005D00FB-0086-41F6-82F4-009C003C009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7" personId="{14E80990-838B-EBD9-EA92-68C61F8F7032}" id="{00040030-000A-45C3-89BF-00B60077006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7" personId="{14E80990-838B-EBD9-EA92-68C61F8F7032}" id="{006D000A-00EC-45CD-A5AE-0096009D002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8" personId="{14E80990-838B-EBD9-EA92-68C61F8F7032}" id="{00FB00E9-00E4-4A01-9CF1-00010040008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8" personId="{14E80990-838B-EBD9-EA92-68C61F8F7032}" id="{005500C1-00CA-4441-B7BB-001000D900D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8" personId="{14E80990-838B-EBD9-EA92-68C61F8F7032}" id="{00E50097-001D-4CE4-A6C5-00B0004200A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59" personId="{14E80990-838B-EBD9-EA92-68C61F8F7032}" id="{00590009-007E-4F33-B9CC-0022003D0038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59" personId="{14E80990-838B-EBD9-EA92-68C61F8F7032}" id="{002600C3-0032-45EE-A610-007B00EB000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59" personId="{14E80990-838B-EBD9-EA92-68C61F8F7032}" id="{0001000A-00A3-47C5-9CD9-00260055002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0" personId="{14E80990-838B-EBD9-EA92-68C61F8F7032}" id="{00640035-00DF-43DF-B1EB-005E00E7000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0" personId="{14E80990-838B-EBD9-EA92-68C61F8F7032}" id="{000F002F-0017-4E57-9214-00B400EF00B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0" personId="{14E80990-838B-EBD9-EA92-68C61F8F7032}" id="{008400F7-0021-4CBA-89A8-008F0023006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" personId="{14E80990-838B-EBD9-EA92-68C61F8F7032}" id="{00890020-00F7-428A-9AF6-00A70018002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" personId="{14E80990-838B-EBD9-EA92-68C61F8F7032}" id="{00AA0051-0036-4DBE-A4DA-008800CC001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" personId="{14E80990-838B-EBD9-EA92-68C61F8F7032}" id="{00B400C5-00A0-4340-9932-0016001D001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1" personId="{14E80990-838B-EBD9-EA92-68C61F8F7032}" id="{003C00CC-009B-4B6E-835B-0003004F003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1" personId="{14E80990-838B-EBD9-EA92-68C61F8F7032}" id="{00160049-00B0-4E99-9EBC-005A008A005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1" personId="{14E80990-838B-EBD9-EA92-68C61F8F7032}" id="{00DE0032-000C-4189-BD3D-00F8005A005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2" personId="{14E80990-838B-EBD9-EA92-68C61F8F7032}" id="{00730013-0002-41F6-BDC9-000E002E00E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2" personId="{14E80990-838B-EBD9-EA92-68C61F8F7032}" id="{0076008B-0087-4310-92D3-00A000D9000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2" personId="{14E80990-838B-EBD9-EA92-68C61F8F7032}" id="{00D000CE-00B4-49F9-98D1-00090014003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3" personId="{14E80990-838B-EBD9-EA92-68C61F8F7032}" id="{00290021-0048-4A46-BCB8-007500F9004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3" personId="{14E80990-838B-EBD9-EA92-68C61F8F7032}" id="{00720061-0023-4282-B284-0065008A00C5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3" personId="{14E80990-838B-EBD9-EA92-68C61F8F7032}" id="{005C007D-00CC-48AB-BBBA-002E00280053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4" personId="{14E80990-838B-EBD9-EA92-68C61F8F7032}" id="{00DE00F7-00ED-46B2-BDDC-007A001C006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4" personId="{14E80990-838B-EBD9-EA92-68C61F8F7032}" id="{00B30066-00D2-46FF-A8F3-00C60012008A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4" personId="{14E80990-838B-EBD9-EA92-68C61F8F7032}" id="{00D900F7-00ED-40EB-AE0C-00E30099001E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5" personId="{14E80990-838B-EBD9-EA92-68C61F8F7032}" id="{001300E7-0054-4544-85B7-007500A400A3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5" personId="{14E80990-838B-EBD9-EA92-68C61F8F7032}" id="{0068000B-0041-4ACD-8689-0076000C004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5" personId="{14E80990-838B-EBD9-EA92-68C61F8F7032}" id="{00A30049-0092-4ABB-8B99-00B4000B009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6" personId="{14E80990-838B-EBD9-EA92-68C61F8F7032}" id="{00D1001C-0047-4D39-AB06-004F00C2008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6" personId="{14E80990-838B-EBD9-EA92-68C61F8F7032}" id="{00C60014-0006-45E5-BC70-003C00B5008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6" personId="{14E80990-838B-EBD9-EA92-68C61F8F7032}" id="{00980054-009A-4051-AF7C-00C5004A008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7" personId="{14E80990-838B-EBD9-EA92-68C61F8F7032}" id="{00210012-0070-4C83-B251-0007004E00E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7" personId="{14E80990-838B-EBD9-EA92-68C61F8F7032}" id="{0082001A-0018-4B75-A81D-00720070007F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7" personId="{14E80990-838B-EBD9-EA92-68C61F8F7032}" id="{009B004B-00CA-4B95-AF90-004D00C3007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8" personId="{14E80990-838B-EBD9-EA92-68C61F8F7032}" id="{00940018-00DF-4546-B95F-002F004000A6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8" personId="{14E80990-838B-EBD9-EA92-68C61F8F7032}" id="{00570008-0054-475E-AEC2-00870041001C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8" personId="{14E80990-838B-EBD9-EA92-68C61F8F7032}" id="{00130037-004A-43A6-A7F7-00150008009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69" personId="{14E80990-838B-EBD9-EA92-68C61F8F7032}" id="{00BA00D3-0088-4B5D-B2BD-006E0036000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69" personId="{14E80990-838B-EBD9-EA92-68C61F8F7032}" id="{008400A0-00F8-4BB5-A8D9-007C0054001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69" personId="{14E80990-838B-EBD9-EA92-68C61F8F7032}" id="{006B0074-0026-4A54-9695-00FB004E00B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0" personId="{14E80990-838B-EBD9-EA92-68C61F8F7032}" id="{00AC00BC-00C4-41D4-B13C-00FE00F3005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0" personId="{14E80990-838B-EBD9-EA92-68C61F8F7032}" id="{004C00F5-0028-4E43-9DA0-0068007600C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0" personId="{14E80990-838B-EBD9-EA92-68C61F8F7032}" id="{00910034-00CC-49A5-8695-007300F0007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" personId="{14E80990-838B-EBD9-EA92-68C61F8F7032}" id="{0085009E-00CE-486D-8371-002D00DC003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" personId="{14E80990-838B-EBD9-EA92-68C61F8F7032}" id="{007700F1-006E-4607-8E96-00F60099003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" personId="{14E80990-838B-EBD9-EA92-68C61F8F7032}" id="{007900F9-0093-4152-8BE0-000300EB002B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1" personId="{14E80990-838B-EBD9-EA92-68C61F8F7032}" id="{00E3001B-0045-491E-9F36-00DE007B004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1" personId="{14E80990-838B-EBD9-EA92-68C61F8F7032}" id="{00CE00CE-0034-48B2-92FF-00E30052002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1" personId="{14E80990-838B-EBD9-EA92-68C61F8F7032}" id="{0099001D-0030-4448-8EAA-00C4006200D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2" personId="{14E80990-838B-EBD9-EA92-68C61F8F7032}" id="{00680027-00AF-458F-9D25-000600FE00C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2" personId="{14E80990-838B-EBD9-EA92-68C61F8F7032}" id="{00A1009F-004A-4828-8368-0083005D001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2" personId="{14E80990-838B-EBD9-EA92-68C61F8F7032}" id="{006D004C-0040-462A-A6E8-00E6001A000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3" personId="{14E80990-838B-EBD9-EA92-68C61F8F7032}" id="{003D0089-00F2-449E-8422-003200B700AC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3" personId="{14E80990-838B-EBD9-EA92-68C61F8F7032}" id="{004200C6-0065-4004-B519-003B00150025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3" personId="{14E80990-838B-EBD9-EA92-68C61F8F7032}" id="{00F30006-00C4-48CC-87D1-002A00FD006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4" personId="{14E80990-838B-EBD9-EA92-68C61F8F7032}" id="{008B005F-00DB-4FDD-A4D0-00FE009B007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4" personId="{14E80990-838B-EBD9-EA92-68C61F8F7032}" id="{0089007E-009C-4312-85A6-000600FE004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4" personId="{14E80990-838B-EBD9-EA92-68C61F8F7032}" id="{002E0020-009E-49B8-BB62-0068009A00C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5" personId="{14E80990-838B-EBD9-EA92-68C61F8F7032}" id="{00020099-0099-4111-8519-009D00C500B3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5" personId="{14E80990-838B-EBD9-EA92-68C61F8F7032}" id="{00500051-00EB-48D4-B663-00F2003D00F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5" personId="{14E80990-838B-EBD9-EA92-68C61F8F7032}" id="{00A50042-0016-4FAB-ADDE-000900A1003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6" personId="{14E80990-838B-EBD9-EA92-68C61F8F7032}" id="{0055007B-0040-4FB3-9BA9-005600F3003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6" personId="{14E80990-838B-EBD9-EA92-68C61F8F7032}" id="{00F600A0-00B2-4B00-97E8-00A3001C0095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6" personId="{14E80990-838B-EBD9-EA92-68C61F8F7032}" id="{00E30068-0059-4816-8946-008C0068000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7" personId="{14E80990-838B-EBD9-EA92-68C61F8F7032}" id="{00BA001D-0048-4E71-9B6F-0003000600E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7" personId="{14E80990-838B-EBD9-EA92-68C61F8F7032}" id="{00DF0020-0034-42FE-8595-00CD008A000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7" personId="{14E80990-838B-EBD9-EA92-68C61F8F7032}" id="{00F70063-00F7-449F-A0E8-0003006A008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8" personId="{14E80990-838B-EBD9-EA92-68C61F8F7032}" id="{006D00ED-000E-48AB-8F24-00920084002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8" personId="{14E80990-838B-EBD9-EA92-68C61F8F7032}" id="{00F00059-001B-476C-B107-00BC0097000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8" personId="{14E80990-838B-EBD9-EA92-68C61F8F7032}" id="{00F30057-0063-48A0-ACCE-009500C500A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79" personId="{14E80990-838B-EBD9-EA92-68C61F8F7032}" id="{002B0029-0050-4FF8-84C0-008600180029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79" personId="{14E80990-838B-EBD9-EA92-68C61F8F7032}" id="{00150027-00F1-499C-BDA3-00CD00F900E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79" personId="{14E80990-838B-EBD9-EA92-68C61F8F7032}" id="{006E003D-0075-46A5-9548-00FB00BA000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0" personId="{14E80990-838B-EBD9-EA92-68C61F8F7032}" id="{00B90068-00B4-49A1-88FC-0075000E00B2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0" personId="{14E80990-838B-EBD9-EA92-68C61F8F7032}" id="{00BD003C-00A6-4313-AC16-00F4008C00EC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0" personId="{14E80990-838B-EBD9-EA92-68C61F8F7032}" id="{00040060-00E9-4DF0-8E6D-0005003000E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" personId="{14E80990-838B-EBD9-EA92-68C61F8F7032}" id="{005D0010-0040-4C23-B2DD-008A00D9006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" personId="{14E80990-838B-EBD9-EA92-68C61F8F7032}" id="{005A009A-000E-430A-95CA-003600CC00AC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" personId="{14E80990-838B-EBD9-EA92-68C61F8F7032}" id="{00D300E2-00DF-47F6-8394-0015002F005F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1" personId="{14E80990-838B-EBD9-EA92-68C61F8F7032}" id="{006100DE-00E0-4CAF-BF28-0002008F0085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1" personId="{14E80990-838B-EBD9-EA92-68C61F8F7032}" id="{00E4001B-0062-4BEE-B86F-002F005B00CD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1" personId="{14E80990-838B-EBD9-EA92-68C61F8F7032}" id="{00FE0036-005B-45E2-92DB-00A00066001C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2" personId="{14E80990-838B-EBD9-EA92-68C61F8F7032}" id="{00960064-00E5-4CAB-BBE3-00B00069000B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2" personId="{14E80990-838B-EBD9-EA92-68C61F8F7032}" id="{005500EB-00BD-40E2-917B-008B007F006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2" personId="{14E80990-838B-EBD9-EA92-68C61F8F7032}" id="{002C00A6-00C5-4E0F-98A3-00B300A800A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3" personId="{14E80990-838B-EBD9-EA92-68C61F8F7032}" id="{00CC0084-0082-4731-83DB-007B0046008B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3" personId="{14E80990-838B-EBD9-EA92-68C61F8F7032}" id="{002D000A-009E-433A-89A8-008F00A3007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3" personId="{14E80990-838B-EBD9-EA92-68C61F8F7032}" id="{000800CD-0068-4990-8B11-006A0069000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4" personId="{14E80990-838B-EBD9-EA92-68C61F8F7032}" id="{005D00F8-004F-4E8D-8A24-00DD0028008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4" personId="{14E80990-838B-EBD9-EA92-68C61F8F7032}" id="{00ED00CC-006B-4FFF-B071-008F00D30081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4" personId="{14E80990-838B-EBD9-EA92-68C61F8F7032}" id="{00C0001B-00F4-41A9-A58D-00780043002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5" personId="{14E80990-838B-EBD9-EA92-68C61F8F7032}" id="{00A100CC-00C8-49C1-B590-006500B300F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5" personId="{14E80990-838B-EBD9-EA92-68C61F8F7032}" id="{009E005B-00EA-4D70-8798-0077004300F2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5" personId="{14E80990-838B-EBD9-EA92-68C61F8F7032}" id="{00890056-00FE-4D55-A443-00A40075008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6" personId="{14E80990-838B-EBD9-EA92-68C61F8F7032}" id="{007900E1-00CE-4202-8C39-003400B300A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6" personId="{14E80990-838B-EBD9-EA92-68C61F8F7032}" id="{00490032-00C7-487D-9EA1-004500C700AE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6" personId="{14E80990-838B-EBD9-EA92-68C61F8F7032}" id="{00170015-007D-4EC1-8FA7-00470061007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7" personId="{14E80990-838B-EBD9-EA92-68C61F8F7032}" id="{00C70069-0023-403A-AEFC-00810094001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7" personId="{14E80990-838B-EBD9-EA92-68C61F8F7032}" id="{007E00A2-0013-424D-BE56-008B0059008B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7" personId="{14E80990-838B-EBD9-EA92-68C61F8F7032}" id="{00270045-004C-40CD-97EB-00D1000B00C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8" personId="{14E80990-838B-EBD9-EA92-68C61F8F7032}" id="{00F1006F-00EF-4A87-A4F9-001700EA008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8" personId="{14E80990-838B-EBD9-EA92-68C61F8F7032}" id="{00CF004F-00C2-4DB7-A441-00EF009800D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8" personId="{14E80990-838B-EBD9-EA92-68C61F8F7032}" id="{00F700A7-00AD-4490-8088-0044009F0048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89" personId="{14E80990-838B-EBD9-EA92-68C61F8F7032}" id="{0064004F-0040-41B8-B716-00D300E900C0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89" personId="{14E80990-838B-EBD9-EA92-68C61F8F7032}" id="{005400B1-002A-4CCA-8E37-00AD004600CD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89" personId="{14E80990-838B-EBD9-EA92-68C61F8F7032}" id="{00CA004E-00C3-4ED3-9BBD-00B600EA0034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0" personId="{14E80990-838B-EBD9-EA92-68C61F8F7032}" id="{000D0038-0083-4ED5-9B7C-002900EC006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0" personId="{14E80990-838B-EBD9-EA92-68C61F8F7032}" id="{00270096-0089-4E47-95CC-001100C80025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0" personId="{14E80990-838B-EBD9-EA92-68C61F8F7032}" id="{00670023-0015-4592-960A-00D100DD00BA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10" personId="{14E80990-838B-EBD9-EA92-68C61F8F7032}" id="{00E000AF-000E-4096-B116-009E00F000C1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10" personId="{14E80990-838B-EBD9-EA92-68C61F8F7032}" id="{00E7009C-007D-4B23-9BD6-000000A7008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10" personId="{14E80990-838B-EBD9-EA92-68C61F8F7032}" id="{00990063-0010-4D81-91B2-0055000F007B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1" personId="{14E80990-838B-EBD9-EA92-68C61F8F7032}" id="{0053000D-0098-48E8-8B18-004D001700DA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1" personId="{14E80990-838B-EBD9-EA92-68C61F8F7032}" id="{003800BA-008B-4408-83F6-006F00130004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1" personId="{14E80990-838B-EBD9-EA92-68C61F8F7032}" id="{00AF001D-0083-4783-9241-0092003A0011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2" personId="{14E80990-838B-EBD9-EA92-68C61F8F7032}" id="{00E100FD-00BD-4A6E-8C74-00650028004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2" personId="{14E80990-838B-EBD9-EA92-68C61F8F7032}" id="{003F00B6-009B-4ED3-8009-00E8005D00B8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2" personId="{14E80990-838B-EBD9-EA92-68C61F8F7032}" id="{00FB00B6-0023-4E32-B801-00F000BB0086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3" personId="{14E80990-838B-EBD9-EA92-68C61F8F7032}" id="{008A0001-007D-45FB-9362-00A7000C009F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3" personId="{14E80990-838B-EBD9-EA92-68C61F8F7032}" id="{002900AE-0079-4416-ABB6-0009007A0020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3" personId="{14E80990-838B-EBD9-EA92-68C61F8F7032}" id="{00540067-0006-435C-8B85-0069001500D9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4" personId="{14E80990-838B-EBD9-EA92-68C61F8F7032}" id="{005000ED-00BC-481B-B4E4-00EA005100CD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4" personId="{14E80990-838B-EBD9-EA92-68C61F8F7032}" id="{00A20091-0053-4C96-B7E5-0007008500B6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4" personId="{14E80990-838B-EBD9-EA92-68C61F8F7032}" id="{009600BC-002A-4D82-9921-000B006D007E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5" personId="{14E80990-838B-EBD9-EA92-68C61F8F7032}" id="{00BA0068-00C1-468A-8835-009900A900C7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5" personId="{14E80990-838B-EBD9-EA92-68C61F8F7032}" id="{006000A5-003F-4ECB-A643-0025003B0063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5" personId="{14E80990-838B-EBD9-EA92-68C61F8F7032}" id="{001F0015-00EE-4559-9C6D-0079000D00DD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6" personId="{14E80990-838B-EBD9-EA92-68C61F8F7032}" id="{00520070-00B9-4DB9-825D-0032006900EE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6" personId="{14E80990-838B-EBD9-EA92-68C61F8F7032}" id="{00980001-00B5-4C65-94C1-0040007F000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6" personId="{14E80990-838B-EBD9-EA92-68C61F8F7032}" id="{00520027-0095-434B-BBC8-006900E300D0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7" personId="{14E80990-838B-EBD9-EA92-68C61F8F7032}" id="{002900D5-0034-4E4E-A1A5-00C6000C009C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7" personId="{14E80990-838B-EBD9-EA92-68C61F8F7032}" id="{00850012-000F-4FC3-9915-004500D600F9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7" personId="{14E80990-838B-EBD9-EA92-68C61F8F7032}" id="{0016007A-00C8-4CF5-93D0-002600010027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  <threadedComment ref="C98" personId="{14E80990-838B-EBD9-EA92-68C61F8F7032}" id="{004F00BB-00A4-4AA2-A91A-007E00AF009A}" done="0">
    <text xml:space="preserve">Значение "Параметны изменялись" выбирается когда значения целевых показателей (индикаторов) и требуемый объем финансирования на соответствующий планируемый период его реализации изменились более чем на 10 процентов
</text>
  </threadedComment>
  <threadedComment ref="D98" personId="{14E80990-838B-EBD9-EA92-68C61F8F7032}" id="{00E60018-000E-497C-AC36-00B600EA007B}" done="0">
    <text xml:space="preserve">Указывается одно из следующих значений в случае указания в разделе 6 нормативного метода определения стоимости закупки:
1. "Обеспечение эксплуатации" - в случае если мероприятие по информатизации направленно на использование информационной системы или информационно-телекоммуникационной инфраструктуры, введенных в эксплуатацию;
2. "Общетехнологические нужды" - в случае если мероприятие по информатизации направлено на закупку средств, выполняющих общие технологические функции или средств вычислительной техники, предназначенных для непосредственной работы пользователя.
В ином случае не заполняется
</text>
  </threadedComment>
  <threadedComment ref="F98" personId="{14E80990-838B-EBD9-EA92-68C61F8F7032}" id="{005600EA-0012-42A9-92ED-000D001C0025}" done="0">
    <text xml:space="preserve">"а" - мероприятие по информатизации, по которому заключен государственный контракт на закупку товаров, работ, услуг для государственных нужд на очередной год и на плановый период;
"б" - мероприятие по информатизации, направленное на эксплуатацию информационных систем и информационно-телекоммуникационной инфраструктуры, введенных в эксплуатацию;
"в" - мероприятие по информатизации, направленное на создание, развитие информационных систем и информационно-телекоммуникационной инфраструктуры в рамках реализации приоритетных направлений использования и развития информационно-коммуникационных технологий;
"г" - иное мероприятие по информатизации.
Значение указывается при включении мероприятия по информатизации в проект плана информатизации
</text>
  </threadedComment>
</ThreadedComments>
</file>

<file path=xl/worksheets/_rels/sheet10.xml.rels><?xml version="1.0" encoding="UTF-8" standalone="yes"?><Relationships xmlns="http://schemas.openxmlformats.org/package/2006/relationships"><Relationship  Id="rId4" Type="http://schemas.openxmlformats.org/officeDocument/2006/relationships/table" Target="../tables/table17.xml"/><Relationship  Id="rId3" Type="http://schemas.openxmlformats.org/officeDocument/2006/relationships/vmlDrawing" Target="../drawings/vmlDrawing5.vml"/><Relationship  Id="rId2" Type="http://schemas.openxmlformats.org/officeDocument/2006/relationships/comments" Target="../comments5.xml"/><Relationship  Id="rId1" Type="http://schemas.microsoft.com/office/2017/10/relationships/threadedComment" Target="../threadedComments/threadedComment5.xml"/></Relationships>
</file>

<file path=xl/worksheets/_rels/sheet11.xml.rels><?xml version="1.0" encoding="UTF-8" standalone="yes"?><Relationships xmlns="http://schemas.openxmlformats.org/package/2006/relationships"><Relationship  Id="rId2" Type="http://schemas.openxmlformats.org/officeDocument/2006/relationships/hyperlink" Target="http://www.orenburg-gov.ru/power/executive/komitet-po-profilaktike-korruptsionnykh-pravonarusheniy-orenburgskoy-oblasti.php" TargetMode="External"/><Relationship  Id="rId1" Type="http://schemas.openxmlformats.org/officeDocument/2006/relationships/hyperlink" Target="http://www.orenburg-gov.ru/power/executive/inspektsiya-gosudarstvennoy-okhrany-obektov-kulturnogo-naslediya-orenburgskoy-oblasti.php" TargetMode="Externa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3.xml.rels><?xml version="1.0" encoding="UTF-8" standalone="yes"?><Relationships xmlns="http://schemas.openxmlformats.org/package/2006/relationships"><Relationship  Id="rId8" Type="http://schemas.openxmlformats.org/officeDocument/2006/relationships/table" Target="../tables/table9.xml"/><Relationship  Id="rId7" Type="http://schemas.openxmlformats.org/officeDocument/2006/relationships/table" Target="../tables/table8.xml"/><Relationship  Id="rId6" Type="http://schemas.openxmlformats.org/officeDocument/2006/relationships/table" Target="../tables/table7.xml"/><Relationship  Id="rId5" Type="http://schemas.openxmlformats.org/officeDocument/2006/relationships/table" Target="../tables/table6.xml"/><Relationship  Id="rId4" Type="http://schemas.openxmlformats.org/officeDocument/2006/relationships/table" Target="../tables/table5.xml"/><Relationship  Id="rId3" Type="http://schemas.openxmlformats.org/officeDocument/2006/relationships/table" Target="../tables/table4.xml"/><Relationship  Id="rId2" Type="http://schemas.openxmlformats.org/officeDocument/2006/relationships/table" Target="../tables/table3.xml"/><Relationship  Id="rId1" Type="http://schemas.openxmlformats.org/officeDocument/2006/relationships/table" Target="../tables/table2.xml"/></Relationships>
</file>

<file path=xl/worksheets/_rels/sheet4.xml.rels><?xml version="1.0" encoding="UTF-8" standalone="yes"?><Relationships xmlns="http://schemas.openxmlformats.org/package/2006/relationships"><Relationship  Id="rId5" Type="http://schemas.openxmlformats.org/officeDocument/2006/relationships/table" Target="../tables/table11.xml"/><Relationship  Id="rId4" Type="http://schemas.openxmlformats.org/officeDocument/2006/relationships/table" Target="../tables/table10.xml"/><Relationship  Id="rId3" Type="http://schemas.openxmlformats.org/officeDocument/2006/relationships/vmlDrawing" Target="../drawings/vmlDrawing1.vml"/><Relationship  Id="rId2" Type="http://schemas.openxmlformats.org/officeDocument/2006/relationships/comments" Target="../comments1.xml"/><Relationship  Id="rId1" Type="http://schemas.microsoft.com/office/2017/10/relationships/threadedComment" Target="../threadedComments/threadedComment1.xml"/></Relationships>
</file>

<file path=xl/worksheets/_rels/sheet5.xml.rels><?xml version="1.0" encoding="UTF-8" standalone="yes"?><Relationships xmlns="http://schemas.openxmlformats.org/package/2006/relationships"><Relationship  Id="rId4" Type="http://schemas.openxmlformats.org/officeDocument/2006/relationships/table" Target="../tables/table12.xml"/><Relationship  Id="rId3" Type="http://schemas.openxmlformats.org/officeDocument/2006/relationships/vmlDrawing" Target="../drawings/vmlDrawing2.vml"/><Relationship  Id="rId2" Type="http://schemas.openxmlformats.org/officeDocument/2006/relationships/comments" Target="../comments2.xml"/><Relationship  Id="rId1" Type="http://schemas.microsoft.com/office/2017/10/relationships/threadedComment" Target="../threadedComments/threadedComment2.xml"/></Relationships>
</file>

<file path=xl/worksheets/_rels/sheet6.xml.rels><?xml version="1.0" encoding="UTF-8" standalone="yes"?><Relationships xmlns="http://schemas.openxmlformats.org/package/2006/relationships"><Relationship  Id="rId1" Type="http://schemas.openxmlformats.org/officeDocument/2006/relationships/table" Target="../tables/table13.xml"/></Relationships>
</file>

<file path=xl/worksheets/_rels/sheet7.xml.rels><?xml version="1.0" encoding="UTF-8" standalone="yes"?><Relationships xmlns="http://schemas.openxmlformats.org/package/2006/relationships"><Relationship  Id="rId4" Type="http://schemas.openxmlformats.org/officeDocument/2006/relationships/table" Target="../tables/table14.xml"/><Relationship  Id="rId3" Type="http://schemas.openxmlformats.org/officeDocument/2006/relationships/vmlDrawing" Target="../drawings/vmlDrawing3.vml"/><Relationship  Id="rId2" Type="http://schemas.openxmlformats.org/officeDocument/2006/relationships/comments" Target="../comments3.xml"/><Relationship  Id="rId1" Type="http://schemas.microsoft.com/office/2017/10/relationships/threadedComment" Target="../threadedComments/threadedComment3.xml"/></Relationships>
</file>

<file path=xl/worksheets/_rels/sheet8.xml.rels><?xml version="1.0" encoding="UTF-8" standalone="yes"?><Relationships xmlns="http://schemas.openxmlformats.org/package/2006/relationships"><Relationship  Id="rId1" Type="http://schemas.openxmlformats.org/officeDocument/2006/relationships/table" Target="../tables/table15.xml"/></Relationships>
</file>

<file path=xl/worksheets/_rels/sheet9.xml.rels><?xml version="1.0" encoding="UTF-8" standalone="yes"?><Relationships xmlns="http://schemas.openxmlformats.org/package/2006/relationships"><Relationship  Id="rId4" Type="http://schemas.openxmlformats.org/officeDocument/2006/relationships/table" Target="../tables/table16.xml"/><Relationship  Id="rId3" Type="http://schemas.openxmlformats.org/officeDocument/2006/relationships/vmlDrawing" Target="../drawings/vmlDrawing4.vml"/><Relationship  Id="rId2" Type="http://schemas.openxmlformats.org/officeDocument/2006/relationships/comments" Target="../comments4.xml"/><Relationship  Id="rId1" Type="http://schemas.microsoft.com/office/2017/10/relationships/threadedComment" Target="../threadedComments/threadedComment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tabColor indexed="2"/>
    <outlinePr applyStyles="0" summaryBelow="1" summaryRight="1" showOutlineSymbols="1"/>
    <pageSetUpPr autoPageBreaks="1" fitToPage="0"/>
  </sheetPr>
  <sheetViews>
    <sheetView topLeftCell="A19" zoomScale="100" workbookViewId="0">
      <selection activeCell="A146" activeCellId="0" sqref="146:146"/>
    </sheetView>
  </sheetViews>
  <sheetFormatPr defaultRowHeight="14.25"/>
  <sheetData>
    <row r="1" s="1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1" customFormat="1" ht="23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>
      <c r="A5" s="3" t="s">
        <v>3</v>
      </c>
    </row>
    <row r="7">
      <c r="A7" t="s">
        <v>4</v>
      </c>
    </row>
    <row r="8">
      <c r="A8" t="s">
        <v>5</v>
      </c>
    </row>
    <row r="9">
      <c r="A9" t="s">
        <v>6</v>
      </c>
    </row>
    <row r="10">
      <c r="A10" t="s">
        <v>7</v>
      </c>
    </row>
    <row r="11">
      <c r="A11" t="s">
        <v>8</v>
      </c>
    </row>
    <row r="12">
      <c r="A12" t="s">
        <v>9</v>
      </c>
    </row>
    <row r="13">
      <c r="A13" t="s">
        <v>10</v>
      </c>
    </row>
    <row r="14">
      <c r="A14" t="s">
        <v>11</v>
      </c>
    </row>
    <row r="15">
      <c r="B15" t="s">
        <v>12</v>
      </c>
    </row>
    <row r="16">
      <c r="B16" t="s">
        <v>13</v>
      </c>
    </row>
    <row r="17">
      <c r="B17" t="s">
        <v>14</v>
      </c>
    </row>
    <row r="18">
      <c r="B18" t="s">
        <v>15</v>
      </c>
    </row>
    <row r="19">
      <c r="A19" s="4" t="s">
        <v>16</v>
      </c>
    </row>
    <row r="21">
      <c r="A21" s="3" t="s">
        <v>17</v>
      </c>
    </row>
    <row r="22" hidden="1">
      <c r="A22" s="5" t="s">
        <v>18</v>
      </c>
    </row>
    <row r="23" hidden="1">
      <c r="A23" s="5" t="s">
        <v>19</v>
      </c>
    </row>
    <row r="24">
      <c r="A24" t="s">
        <v>20</v>
      </c>
    </row>
    <row r="25">
      <c r="A25" t="s">
        <v>21</v>
      </c>
    </row>
    <row r="26">
      <c r="A26" s="4" t="s">
        <v>22</v>
      </c>
    </row>
    <row r="27">
      <c r="A27" s="6" t="s">
        <v>23</v>
      </c>
    </row>
    <row r="28">
      <c r="A28" s="7"/>
      <c r="B28" s="6" t="s">
        <v>24</v>
      </c>
    </row>
    <row r="29">
      <c r="A29" s="7"/>
      <c r="B29" s="6" t="s">
        <v>25</v>
      </c>
    </row>
    <row r="30">
      <c r="A30" s="7"/>
      <c r="B30" s="6" t="s">
        <v>26</v>
      </c>
    </row>
    <row r="31">
      <c r="A31" s="7"/>
      <c r="B31" s="6" t="s">
        <v>27</v>
      </c>
    </row>
    <row r="32">
      <c r="A32" s="7"/>
      <c r="B32" s="6" t="s">
        <v>28</v>
      </c>
    </row>
    <row r="33">
      <c r="A33" s="6" t="s">
        <v>29</v>
      </c>
      <c r="B33" s="6"/>
    </row>
    <row r="34">
      <c r="A34" s="6"/>
      <c r="B34" s="6" t="s">
        <v>30</v>
      </c>
    </row>
    <row r="35">
      <c r="A35" s="6"/>
      <c r="B35" s="6" t="s">
        <v>31</v>
      </c>
    </row>
    <row r="36">
      <c r="A36" s="6"/>
      <c r="B36" s="6" t="s">
        <v>32</v>
      </c>
    </row>
    <row r="37">
      <c r="A37" s="6"/>
      <c r="B37" s="6" t="s">
        <v>33</v>
      </c>
    </row>
    <row r="38">
      <c r="A38" s="4" t="s">
        <v>34</v>
      </c>
    </row>
    <row r="39">
      <c r="A39" s="4" t="s">
        <v>35</v>
      </c>
    </row>
    <row r="40">
      <c r="B40" t="s">
        <v>36</v>
      </c>
    </row>
    <row r="41">
      <c r="B41" t="s">
        <v>37</v>
      </c>
    </row>
    <row r="42">
      <c r="B42" t="s">
        <v>38</v>
      </c>
    </row>
    <row r="43">
      <c r="B43" t="s">
        <v>39</v>
      </c>
    </row>
    <row r="44">
      <c r="B44" t="s">
        <v>40</v>
      </c>
    </row>
    <row r="45">
      <c r="B45" t="s">
        <v>41</v>
      </c>
    </row>
    <row r="46">
      <c r="B46" t="s">
        <v>42</v>
      </c>
    </row>
    <row r="47">
      <c r="A47" t="s">
        <v>43</v>
      </c>
    </row>
    <row r="48">
      <c r="A48" s="6" t="s">
        <v>44</v>
      </c>
    </row>
    <row r="49">
      <c r="B49" t="s">
        <v>45</v>
      </c>
    </row>
    <row r="50">
      <c r="B50" t="s">
        <v>46</v>
      </c>
    </row>
    <row r="51" ht="45.75" customHeight="1">
      <c r="B51" s="8">
        <v>1</v>
      </c>
      <c r="C51" s="9" t="s">
        <v>47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>
      <c r="B52" s="8">
        <v>2</v>
      </c>
      <c r="C52" t="s">
        <v>48</v>
      </c>
    </row>
    <row r="53">
      <c r="B53" s="8">
        <v>3</v>
      </c>
      <c r="C53" t="s">
        <v>49</v>
      </c>
    </row>
    <row r="54" ht="33" customHeight="1">
      <c r="B54" s="8">
        <v>4</v>
      </c>
      <c r="C54" s="9" t="s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>
      <c r="B55" s="8">
        <v>5</v>
      </c>
      <c r="C55" t="s">
        <v>51</v>
      </c>
    </row>
    <row r="57">
      <c r="A57" t="s">
        <v>52</v>
      </c>
    </row>
    <row r="58">
      <c r="A58" t="s">
        <v>53</v>
      </c>
    </row>
    <row r="59">
      <c r="A59" t="s">
        <v>54</v>
      </c>
    </row>
    <row r="60">
      <c r="A60" t="s">
        <v>55</v>
      </c>
    </row>
    <row r="61">
      <c r="A61" t="s">
        <v>56</v>
      </c>
    </row>
    <row r="62">
      <c r="A62" t="s">
        <v>57</v>
      </c>
    </row>
    <row r="63">
      <c r="A63" t="s">
        <v>58</v>
      </c>
    </row>
    <row r="64">
      <c r="A64" t="s">
        <v>59</v>
      </c>
    </row>
    <row r="65">
      <c r="A65" t="s">
        <v>60</v>
      </c>
    </row>
    <row r="66">
      <c r="A66" t="s">
        <v>61</v>
      </c>
    </row>
    <row r="67">
      <c r="A67" t="s">
        <v>62</v>
      </c>
    </row>
    <row r="68">
      <c r="A68" t="s">
        <v>63</v>
      </c>
    </row>
    <row r="69">
      <c r="A69" t="s">
        <v>64</v>
      </c>
    </row>
    <row r="71" hidden="1"/>
    <row r="72" hidden="1">
      <c r="A72" s="3" t="s">
        <v>65</v>
      </c>
    </row>
    <row r="73" hidden="1">
      <c r="A73" s="4" t="s">
        <v>66</v>
      </c>
    </row>
    <row r="74" hidden="1">
      <c r="A74" s="6" t="s">
        <v>67</v>
      </c>
    </row>
    <row r="75" hidden="1">
      <c r="A75" s="6" t="s">
        <v>68</v>
      </c>
    </row>
    <row r="76" hidden="1">
      <c r="A76" t="s">
        <v>69</v>
      </c>
    </row>
    <row r="77" hidden="1">
      <c r="A77" t="s">
        <v>70</v>
      </c>
    </row>
    <row r="78" hidden="1">
      <c r="A78" t="s">
        <v>71</v>
      </c>
    </row>
    <row r="79" hidden="1">
      <c r="A79" t="s">
        <v>72</v>
      </c>
    </row>
    <row r="80" hidden="1">
      <c r="A80" t="s">
        <v>73</v>
      </c>
    </row>
    <row r="81" hidden="1">
      <c r="A81" t="s">
        <v>74</v>
      </c>
    </row>
    <row r="82" ht="13.5" hidden="1" customHeight="1"/>
    <row r="84">
      <c r="A84" s="3" t="s">
        <v>75</v>
      </c>
    </row>
    <row r="85">
      <c r="A85" s="6" t="s">
        <v>67</v>
      </c>
    </row>
    <row r="86">
      <c r="A86" s="6" t="s">
        <v>68</v>
      </c>
    </row>
    <row r="87">
      <c r="A87" t="s">
        <v>76</v>
      </c>
    </row>
    <row r="88">
      <c r="A88" t="s">
        <v>77</v>
      </c>
    </row>
    <row r="89">
      <c r="A89" t="s">
        <v>78</v>
      </c>
    </row>
    <row r="90">
      <c r="A90" t="s">
        <v>79</v>
      </c>
    </row>
    <row r="91">
      <c r="A91" t="s">
        <v>80</v>
      </c>
    </row>
    <row r="92">
      <c r="B92" s="10" t="s">
        <v>81</v>
      </c>
    </row>
    <row r="93">
      <c r="B93" s="10" t="s">
        <v>82</v>
      </c>
    </row>
    <row r="94">
      <c r="B94" s="10" t="s">
        <v>83</v>
      </c>
    </row>
    <row r="95">
      <c r="A95" t="s">
        <v>84</v>
      </c>
    </row>
    <row r="96">
      <c r="A96" t="s">
        <v>85</v>
      </c>
    </row>
    <row r="99" hidden="1">
      <c r="A99" s="3" t="s">
        <v>86</v>
      </c>
    </row>
    <row r="100" hidden="1">
      <c r="A100" s="4" t="s">
        <v>87</v>
      </c>
    </row>
    <row r="101" hidden="1">
      <c r="A101" s="6" t="s">
        <v>67</v>
      </c>
    </row>
    <row r="102" hidden="1">
      <c r="A102" s="6" t="s">
        <v>68</v>
      </c>
    </row>
    <row r="103" hidden="1">
      <c r="A103" t="s">
        <v>88</v>
      </c>
    </row>
    <row r="104" hidden="1">
      <c r="A104" t="s">
        <v>89</v>
      </c>
    </row>
    <row r="105" hidden="1">
      <c r="A105" t="s">
        <v>90</v>
      </c>
    </row>
    <row r="106" hidden="1">
      <c r="A106" t="s">
        <v>91</v>
      </c>
    </row>
    <row r="107" hidden="1">
      <c r="A107" t="s">
        <v>92</v>
      </c>
    </row>
    <row r="108" hidden="1">
      <c r="A108" t="s">
        <v>93</v>
      </c>
    </row>
    <row r="109" hidden="1">
      <c r="A109" t="s">
        <v>94</v>
      </c>
    </row>
    <row r="110" hidden="1">
      <c r="A110" t="s">
        <v>95</v>
      </c>
    </row>
    <row r="111" hidden="1">
      <c r="A111" t="s">
        <v>96</v>
      </c>
    </row>
    <row r="112" hidden="1">
      <c r="A112" t="s">
        <v>97</v>
      </c>
    </row>
    <row r="113" hidden="1">
      <c r="A113" t="s">
        <v>98</v>
      </c>
    </row>
    <row r="114" hidden="1">
      <c r="A114" t="s">
        <v>99</v>
      </c>
    </row>
    <row r="115" hidden="1"/>
    <row r="116" hidden="1"/>
    <row r="117">
      <c r="A117" s="3" t="s">
        <v>100</v>
      </c>
    </row>
    <row r="118">
      <c r="A118" s="6" t="s">
        <v>67</v>
      </c>
    </row>
    <row r="119">
      <c r="A119" s="6" t="s">
        <v>68</v>
      </c>
    </row>
    <row r="120">
      <c r="A120" t="s">
        <v>101</v>
      </c>
    </row>
    <row r="123">
      <c r="A123" s="3" t="s">
        <v>102</v>
      </c>
    </row>
    <row r="124">
      <c r="A124" s="6" t="s">
        <v>67</v>
      </c>
    </row>
    <row r="125">
      <c r="A125" s="6" t="s">
        <v>68</v>
      </c>
    </row>
    <row r="126">
      <c r="A126" t="s">
        <v>103</v>
      </c>
    </row>
    <row r="127">
      <c r="A127" t="s">
        <v>104</v>
      </c>
    </row>
    <row r="128">
      <c r="B128" t="s">
        <v>105</v>
      </c>
    </row>
    <row r="129">
      <c r="C129" t="s">
        <v>106</v>
      </c>
    </row>
    <row r="130">
      <c r="C130" t="s">
        <v>107</v>
      </c>
    </row>
    <row r="131">
      <c r="C131" t="s">
        <v>108</v>
      </c>
    </row>
    <row r="132">
      <c r="B132" t="s">
        <v>109</v>
      </c>
    </row>
    <row r="133">
      <c r="A133" t="s">
        <v>110</v>
      </c>
      <c r="B133" t="s">
        <v>111</v>
      </c>
    </row>
    <row r="134">
      <c r="A134" t="s">
        <v>112</v>
      </c>
    </row>
    <row r="135">
      <c r="A135" s="6" t="s">
        <v>113</v>
      </c>
    </row>
    <row r="136">
      <c r="A136" s="6" t="s">
        <v>114</v>
      </c>
    </row>
    <row r="137">
      <c r="A137" t="s">
        <v>115</v>
      </c>
    </row>
    <row r="138">
      <c r="A138" t="s">
        <v>116</v>
      </c>
    </row>
    <row r="139">
      <c r="A139" t="s">
        <v>117</v>
      </c>
    </row>
    <row r="140">
      <c r="A140" t="s">
        <v>118</v>
      </c>
    </row>
    <row r="141">
      <c r="A141" t="s">
        <v>119</v>
      </c>
    </row>
    <row r="142">
      <c r="A142" t="s">
        <v>120</v>
      </c>
    </row>
    <row r="143">
      <c r="A143" t="s">
        <v>121</v>
      </c>
    </row>
    <row r="144">
      <c r="A144" t="s">
        <v>122</v>
      </c>
    </row>
    <row r="146" hidden="1"/>
    <row r="147" hidden="1">
      <c r="A147" s="3" t="s">
        <v>123</v>
      </c>
    </row>
    <row r="148" hidden="1">
      <c r="A148" s="6" t="s">
        <v>67</v>
      </c>
    </row>
    <row r="149" hidden="1">
      <c r="A149" s="6" t="s">
        <v>68</v>
      </c>
    </row>
    <row r="150" hidden="1">
      <c r="A150" s="11" t="s">
        <v>124</v>
      </c>
    </row>
    <row r="151" hidden="1">
      <c r="B151" s="6" t="s">
        <v>125</v>
      </c>
    </row>
    <row r="152" hidden="1">
      <c r="B152" s="6" t="s">
        <v>126</v>
      </c>
    </row>
    <row r="153" hidden="1">
      <c r="B153" s="6" t="s">
        <v>127</v>
      </c>
    </row>
    <row r="154" hidden="1">
      <c r="A154" t="s">
        <v>128</v>
      </c>
    </row>
    <row r="155" hidden="1">
      <c r="A155" t="s">
        <v>129</v>
      </c>
    </row>
    <row r="156" hidden="1">
      <c r="A156" s="6" t="s">
        <v>130</v>
      </c>
      <c r="B156" s="6"/>
    </row>
    <row r="157" hidden="1">
      <c r="A157" s="6"/>
      <c r="B157" s="6" t="s">
        <v>131</v>
      </c>
    </row>
    <row r="158" hidden="1">
      <c r="A158" s="6"/>
      <c r="B158" s="6" t="s">
        <v>132</v>
      </c>
    </row>
    <row r="159" hidden="1">
      <c r="A159" s="6" t="s">
        <v>133</v>
      </c>
    </row>
    <row r="160" hidden="1">
      <c r="A160" s="6" t="s">
        <v>134</v>
      </c>
    </row>
    <row r="161" hidden="1">
      <c r="B161" t="s">
        <v>135</v>
      </c>
    </row>
    <row r="162" hidden="1">
      <c r="B162" t="s">
        <v>136</v>
      </c>
    </row>
    <row r="163" hidden="1">
      <c r="B163" t="s">
        <v>137</v>
      </c>
    </row>
    <row r="164" hidden="1">
      <c r="A164" s="6" t="s">
        <v>138</v>
      </c>
    </row>
    <row r="165" hidden="1">
      <c r="B165" s="6" t="s">
        <v>139</v>
      </c>
    </row>
    <row r="166" hidden="1">
      <c r="B166" s="6" t="s">
        <v>140</v>
      </c>
    </row>
    <row r="167" hidden="1">
      <c r="B167" s="6" t="s">
        <v>141</v>
      </c>
    </row>
    <row r="168" hidden="1">
      <c r="A168" s="6" t="s">
        <v>142</v>
      </c>
      <c r="B168" s="6"/>
    </row>
    <row r="169" hidden="1">
      <c r="A169" s="6"/>
      <c r="B169" s="12" t="s">
        <v>143</v>
      </c>
      <c r="C169" t="s">
        <v>144</v>
      </c>
    </row>
    <row r="170" hidden="1">
      <c r="A170" s="6"/>
      <c r="B170" s="12" t="s">
        <v>145</v>
      </c>
      <c r="C170" t="s">
        <v>146</v>
      </c>
    </row>
    <row r="171" hidden="1">
      <c r="A171" s="6"/>
      <c r="B171" s="12" t="s">
        <v>147</v>
      </c>
      <c r="C171" t="s">
        <v>148</v>
      </c>
    </row>
    <row r="172" hidden="1">
      <c r="A172" s="6"/>
      <c r="B172" s="12" t="s">
        <v>149</v>
      </c>
      <c r="C172" t="s">
        <v>150</v>
      </c>
    </row>
    <row r="173" hidden="1">
      <c r="A173" t="s">
        <v>151</v>
      </c>
    </row>
    <row r="175">
      <c r="A175" s="4" t="s">
        <v>152</v>
      </c>
    </row>
  </sheetData>
  <mergeCells count="5">
    <mergeCell ref="A1:W1"/>
    <mergeCell ref="A2:W2"/>
    <mergeCell ref="A3:W3"/>
    <mergeCell ref="C51:V51"/>
    <mergeCell ref="C54:V54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1">
    <outlinePr applyStyles="0" summaryBelow="1" summaryRight="1" showOutlineSymbols="1"/>
    <pageSetUpPr autoPageBreaks="1" fitToPage="0"/>
  </sheetPr>
  <sheetViews>
    <sheetView zoomScale="100" workbookViewId="0">
      <selection activeCell="F11" activeCellId="0" sqref="F11"/>
    </sheetView>
  </sheetViews>
  <sheetFormatPr defaultRowHeight="14.25"/>
  <cols>
    <col customWidth="1" min="1" max="1" style="97" width="39.28515625"/>
    <col customWidth="1" min="2" max="2" style="97" width="21.7109375"/>
    <col customWidth="1" min="3" max="3" style="97" width="23.5703125"/>
    <col customWidth="1" min="4" max="4" style="97" width="21.42578125"/>
    <col customWidth="1" min="5" max="5" style="97" width="20.85546875"/>
    <col customWidth="1" min="6" max="6" style="92" width="21.28515625"/>
    <col min="7" max="16384" style="97" width="9.140625"/>
  </cols>
  <sheetData>
    <row r="2" ht="15.75">
      <c r="A2" s="154" t="s">
        <v>123</v>
      </c>
      <c r="B2" s="154"/>
      <c r="C2" s="154"/>
      <c r="D2" s="154"/>
      <c r="E2" s="154"/>
      <c r="F2" s="154"/>
    </row>
    <row r="3" ht="15">
      <c r="A3" s="179"/>
      <c r="B3" s="179"/>
      <c r="C3" s="179"/>
      <c r="D3" s="179"/>
      <c r="E3" s="179"/>
      <c r="F3" s="94"/>
    </row>
    <row r="4" ht="15">
      <c r="A4" s="179"/>
      <c r="B4" s="179"/>
      <c r="C4" s="179"/>
      <c r="D4" s="179"/>
      <c r="E4" s="179"/>
      <c r="F4" s="94"/>
    </row>
    <row r="5" ht="81" customHeight="1">
      <c r="A5" s="207" t="s">
        <v>243</v>
      </c>
      <c r="B5" s="208" t="s">
        <v>320</v>
      </c>
      <c r="C5" s="208" t="s">
        <v>321</v>
      </c>
      <c r="D5" s="208" t="s">
        <v>322</v>
      </c>
      <c r="E5" s="208" t="s">
        <v>323</v>
      </c>
      <c r="F5" s="209" t="s">
        <v>324</v>
      </c>
    </row>
    <row r="6" ht="30">
      <c r="A6" s="126" t="s">
        <v>325</v>
      </c>
      <c r="B6" s="108" t="s">
        <v>326</v>
      </c>
      <c r="C6" s="108" t="s">
        <v>327</v>
      </c>
      <c r="D6" s="108" t="s">
        <v>328</v>
      </c>
      <c r="E6" s="108" t="s">
        <v>329</v>
      </c>
      <c r="F6" s="108" t="s">
        <v>330</v>
      </c>
    </row>
    <row r="7" ht="30">
      <c r="A7" s="126" t="s">
        <v>278</v>
      </c>
      <c r="B7" s="108" t="s">
        <v>326</v>
      </c>
      <c r="C7" s="108" t="s">
        <v>327</v>
      </c>
      <c r="D7" s="108" t="s">
        <v>328</v>
      </c>
      <c r="E7" s="108" t="s">
        <v>329</v>
      </c>
      <c r="F7" s="108" t="s">
        <v>330</v>
      </c>
    </row>
    <row r="8" ht="30">
      <c r="A8" s="126" t="s">
        <v>331</v>
      </c>
      <c r="B8" s="108" t="s">
        <v>326</v>
      </c>
      <c r="C8" s="108" t="s">
        <v>327</v>
      </c>
      <c r="D8" s="108" t="s">
        <v>328</v>
      </c>
      <c r="E8" s="108" t="s">
        <v>329</v>
      </c>
      <c r="F8" s="108" t="s">
        <v>330</v>
      </c>
    </row>
    <row r="9" ht="30">
      <c r="A9" s="126" t="s">
        <v>332</v>
      </c>
      <c r="B9" s="108" t="s">
        <v>326</v>
      </c>
      <c r="C9" s="108" t="s">
        <v>327</v>
      </c>
      <c r="D9" s="108" t="s">
        <v>328</v>
      </c>
      <c r="E9" s="108" t="s">
        <v>329</v>
      </c>
      <c r="F9" s="108" t="s">
        <v>330</v>
      </c>
    </row>
    <row r="10" ht="30">
      <c r="A10" s="126" t="s">
        <v>333</v>
      </c>
      <c r="B10" s="108" t="s">
        <v>326</v>
      </c>
      <c r="C10" s="108" t="s">
        <v>327</v>
      </c>
      <c r="D10" s="108" t="s">
        <v>328</v>
      </c>
      <c r="E10" s="108" t="s">
        <v>329</v>
      </c>
      <c r="F10" s="108" t="s">
        <v>330</v>
      </c>
    </row>
    <row r="11" ht="60">
      <c r="A11" s="126" t="s">
        <v>334</v>
      </c>
      <c r="B11" s="108" t="s">
        <v>326</v>
      </c>
      <c r="C11" s="108" t="s">
        <v>327</v>
      </c>
      <c r="D11" s="108" t="s">
        <v>335</v>
      </c>
      <c r="E11" s="108" t="s">
        <v>329</v>
      </c>
      <c r="F11" s="108" t="s">
        <v>336</v>
      </c>
    </row>
    <row r="12" ht="30">
      <c r="A12" s="126" t="s">
        <v>248</v>
      </c>
      <c r="B12" s="108" t="s">
        <v>326</v>
      </c>
      <c r="C12" s="108" t="s">
        <v>327</v>
      </c>
      <c r="D12" s="108" t="s">
        <v>328</v>
      </c>
      <c r="E12" s="108" t="s">
        <v>329</v>
      </c>
      <c r="F12" s="108" t="s">
        <v>336</v>
      </c>
    </row>
    <row r="13" ht="45">
      <c r="A13" s="126" t="s">
        <v>337</v>
      </c>
      <c r="B13" s="108" t="s">
        <v>326</v>
      </c>
      <c r="C13" s="108" t="s">
        <v>327</v>
      </c>
      <c r="D13" s="108" t="s">
        <v>328</v>
      </c>
      <c r="E13" s="108" t="s">
        <v>329</v>
      </c>
      <c r="F13" s="108" t="s">
        <v>336</v>
      </c>
    </row>
    <row r="14" ht="30">
      <c r="A14" s="126" t="s">
        <v>338</v>
      </c>
      <c r="B14" s="108" t="s">
        <v>326</v>
      </c>
      <c r="C14" s="108" t="s">
        <v>327</v>
      </c>
      <c r="D14" s="108" t="s">
        <v>328</v>
      </c>
      <c r="E14" s="108" t="s">
        <v>329</v>
      </c>
      <c r="F14" s="108" t="s">
        <v>336</v>
      </c>
    </row>
    <row r="15" ht="30">
      <c r="A15" s="126" t="s">
        <v>339</v>
      </c>
      <c r="B15" s="108" t="s">
        <v>340</v>
      </c>
      <c r="C15" s="108" t="s">
        <v>327</v>
      </c>
      <c r="D15" s="108" t="s">
        <v>328</v>
      </c>
      <c r="E15" s="108" t="s">
        <v>329</v>
      </c>
      <c r="F15" s="108" t="s">
        <v>336</v>
      </c>
    </row>
    <row r="16" ht="30">
      <c r="A16" s="126" t="s">
        <v>341</v>
      </c>
      <c r="B16" s="108" t="s">
        <v>326</v>
      </c>
      <c r="C16" s="108" t="s">
        <v>327</v>
      </c>
      <c r="D16" s="108" t="s">
        <v>328</v>
      </c>
      <c r="E16" s="108" t="s">
        <v>329</v>
      </c>
      <c r="F16" s="108" t="s">
        <v>330</v>
      </c>
    </row>
    <row r="17" ht="30">
      <c r="A17" s="126" t="s">
        <v>342</v>
      </c>
      <c r="B17" s="108" t="s">
        <v>326</v>
      </c>
      <c r="C17" s="108" t="s">
        <v>327</v>
      </c>
      <c r="D17" s="108" t="s">
        <v>335</v>
      </c>
      <c r="E17" s="108" t="s">
        <v>329</v>
      </c>
      <c r="F17" s="108" t="s">
        <v>336</v>
      </c>
    </row>
    <row r="18" ht="30">
      <c r="A18" s="117" t="s">
        <v>343</v>
      </c>
      <c r="B18" s="108" t="s">
        <v>326</v>
      </c>
      <c r="C18" s="108" t="s">
        <v>327</v>
      </c>
      <c r="D18" s="108" t="s">
        <v>335</v>
      </c>
      <c r="E18" s="108" t="s">
        <v>329</v>
      </c>
      <c r="F18" s="108" t="s">
        <v>336</v>
      </c>
    </row>
    <row r="19" ht="30">
      <c r="A19" s="106" t="s">
        <v>344</v>
      </c>
      <c r="B19" s="108" t="s">
        <v>326</v>
      </c>
      <c r="C19" s="108" t="s">
        <v>327</v>
      </c>
      <c r="D19" s="108" t="s">
        <v>328</v>
      </c>
      <c r="E19" s="108" t="s">
        <v>329</v>
      </c>
      <c r="F19" s="108" t="s">
        <v>330</v>
      </c>
    </row>
    <row r="20" ht="30">
      <c r="A20" s="126" t="s">
        <v>345</v>
      </c>
      <c r="B20" s="108" t="s">
        <v>326</v>
      </c>
      <c r="C20" s="108" t="s">
        <v>327</v>
      </c>
      <c r="D20" s="108" t="s">
        <v>328</v>
      </c>
      <c r="E20" s="126" t="s">
        <v>329</v>
      </c>
      <c r="F20" s="108" t="s">
        <v>336</v>
      </c>
    </row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>
      <c r="A98" s="130"/>
      <c r="B98" s="130"/>
      <c r="C98" s="130"/>
      <c r="D98" s="130"/>
      <c r="F98" s="131"/>
    </row>
    <row r="101" ht="21">
      <c r="A101" s="133" t="s">
        <v>231</v>
      </c>
      <c r="B101" s="133"/>
      <c r="C101" s="133"/>
      <c r="D101" s="133"/>
      <c r="E101" s="133"/>
      <c r="F101" s="133"/>
      <c r="G101" s="133"/>
      <c r="H101" s="133"/>
      <c r="I101" s="133"/>
    </row>
  </sheetData>
  <mergeCells count="2">
    <mergeCell ref="A2:F2"/>
    <mergeCell ref="A101:I101"/>
  </mergeCells>
  <dataValidations count="8" disablePrompts="0">
    <dataValidation sqref="C21:C98" type="list" allowBlank="1" errorStyle="stop" imeMode="noControl" operator="between" showDropDown="0" showErrorMessage="1" showInputMessage="1">
      <formula1>Справочники!$F$17:$F$19</formula1>
    </dataValidation>
    <dataValidation sqref="D21:D98" type="list" allowBlank="1" errorStyle="stop" imeMode="noControl" operator="between" showDropDown="0" showErrorMessage="1" showInputMessage="1">
      <formula1>Справочники!$F$20:$F$22</formula1>
    </dataValidation>
    <dataValidation sqref="E21:E98" type="list" allowBlank="1" errorStyle="stop" imeMode="noControl" operator="between" showDropDown="0" showErrorMessage="1" showInputMessage="1">
      <formula1>Справочники!$F$33:$F$36</formula1>
    </dataValidation>
    <dataValidation sqref="F21:F98" type="list" allowBlank="1" errorStyle="stop" imeMode="noControl" operator="between" showDropDown="0" showErrorMessage="1" showInputMessage="1">
      <formula1>Справочники!$E$33:$E$37</formula1>
    </dataValidation>
    <dataValidation sqref="B21:B98" type="list" allowBlank="1" errorStyle="stop" imeMode="noControl" operator="between" showDropDown="0" showErrorMessage="1" showInputMessage="1">
      <formula1>Справочники!$F$14:$F$16</formula1>
    </dataValidation>
    <dataValidation sqref="A6:A20" type="list" allowBlank="1" errorStyle="stop" imeMode="noControl" operator="between" showDropDown="0" showErrorMessage="1" showInputMessage="1">
      <formula1>'Р 5. Финансирование'!#REF!</formula1>
    </dataValidation>
    <dataValidation sqref="B6:F20" type="list" allowBlank="1" errorStyle="stop" imeMode="noControl" operator="between" showDropDown="0" showErrorMessage="1" showInputMessage="1">
      <formula1>Справочники!#REF!</formula1>
    </dataValidation>
    <dataValidation sqref="A21:A97" type="list" allowBlank="1" errorStyle="stop" imeMode="noControl" operator="between" showDropDown="0" showErrorMessage="1" showInputMessage="1">
      <formula1>'Р 5. Финансирование'!$A$9:$A$183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2">
    <outlinePr applyStyles="0" summaryBelow="1" summaryRight="1" showOutlineSymbols="1"/>
    <pageSetUpPr autoPageBreaks="1" fitToPage="0"/>
  </sheetPr>
  <sheetViews>
    <sheetView zoomScale="100" workbookViewId="0">
      <selection activeCell="C19" activeCellId="0" sqref="C19"/>
    </sheetView>
  </sheetViews>
  <sheetFormatPr defaultRowHeight="14.25"/>
  <cols>
    <col customWidth="1" min="1" max="1" width="6.85546875"/>
    <col customWidth="1" min="2" max="2" width="42.42578125"/>
    <col customWidth="1" min="3" max="3" width="21.7109375"/>
    <col customWidth="1" min="4" max="4" width="11.42578125"/>
    <col customWidth="1" min="6" max="6" width="76.5703125"/>
  </cols>
  <sheetData>
    <row r="1">
      <c r="A1" s="210">
        <v>1</v>
      </c>
      <c r="B1" s="210"/>
      <c r="C1" s="210"/>
      <c r="D1" s="210"/>
    </row>
    <row r="2" ht="28.5">
      <c r="A2" s="23" t="s">
        <v>202</v>
      </c>
      <c r="B2" s="23" t="s">
        <v>346</v>
      </c>
      <c r="C2" s="118" t="s">
        <v>347</v>
      </c>
      <c r="D2" s="23" t="s">
        <v>178</v>
      </c>
      <c r="F2" s="141"/>
    </row>
    <row r="3">
      <c r="A3" s="23"/>
      <c r="B3" s="23" t="s">
        <v>348</v>
      </c>
      <c r="C3" s="118"/>
      <c r="D3" s="23"/>
      <c r="E3" s="22" t="s">
        <v>46</v>
      </c>
      <c r="F3" s="22"/>
    </row>
    <row r="4" ht="99.75">
      <c r="A4" s="23">
        <v>1</v>
      </c>
      <c r="B4" s="119" t="s">
        <v>349</v>
      </c>
      <c r="C4" s="119" t="s">
        <v>350</v>
      </c>
      <c r="D4" s="109">
        <v>811</v>
      </c>
      <c r="E4" s="116">
        <v>1</v>
      </c>
      <c r="F4" s="119" t="s">
        <v>351</v>
      </c>
    </row>
    <row r="5" ht="28.5">
      <c r="A5" s="23">
        <v>2</v>
      </c>
      <c r="B5" s="119" t="s">
        <v>352</v>
      </c>
      <c r="C5" s="119" t="s">
        <v>353</v>
      </c>
      <c r="D5" s="109">
        <v>891</v>
      </c>
      <c r="E5" s="116">
        <v>2</v>
      </c>
      <c r="F5" s="119" t="s">
        <v>354</v>
      </c>
    </row>
    <row r="6" ht="28.5">
      <c r="A6" s="23">
        <v>3</v>
      </c>
      <c r="B6" s="119" t="s">
        <v>355</v>
      </c>
      <c r="C6" s="119" t="s">
        <v>356</v>
      </c>
      <c r="D6" s="109">
        <v>835</v>
      </c>
      <c r="E6" s="116">
        <v>3</v>
      </c>
      <c r="F6" s="119" t="s">
        <v>357</v>
      </c>
    </row>
    <row r="7" ht="42.75">
      <c r="A7" s="23">
        <v>4</v>
      </c>
      <c r="B7" s="119" t="s">
        <v>358</v>
      </c>
      <c r="C7" s="119" t="s">
        <v>359</v>
      </c>
      <c r="D7" s="109">
        <v>824</v>
      </c>
      <c r="E7" s="116"/>
      <c r="F7" s="119"/>
    </row>
    <row r="8" ht="71.25">
      <c r="A8" s="23">
        <v>5</v>
      </c>
      <c r="B8" s="119" t="s">
        <v>360</v>
      </c>
      <c r="C8" s="119" t="s">
        <v>361</v>
      </c>
      <c r="D8" s="109">
        <v>829</v>
      </c>
      <c r="E8" s="116">
        <v>4</v>
      </c>
      <c r="F8" s="119" t="s">
        <v>362</v>
      </c>
    </row>
    <row r="9" ht="28.5">
      <c r="A9" s="23">
        <v>6</v>
      </c>
      <c r="B9" s="119" t="s">
        <v>363</v>
      </c>
      <c r="C9" s="119" t="s">
        <v>364</v>
      </c>
      <c r="D9" s="109">
        <v>834</v>
      </c>
      <c r="E9" s="116">
        <v>5</v>
      </c>
      <c r="F9" s="119" t="s">
        <v>365</v>
      </c>
    </row>
    <row r="10" ht="28.5">
      <c r="A10" s="23">
        <v>7</v>
      </c>
      <c r="B10" s="119" t="s">
        <v>366</v>
      </c>
      <c r="C10" s="119" t="s">
        <v>367</v>
      </c>
      <c r="D10" s="109">
        <v>871</v>
      </c>
    </row>
    <row r="11" ht="42.75">
      <c r="A11" s="23">
        <v>8</v>
      </c>
      <c r="B11" s="119" t="s">
        <v>368</v>
      </c>
      <c r="C11" s="119" t="s">
        <v>369</v>
      </c>
      <c r="D11" s="109">
        <v>817</v>
      </c>
    </row>
    <row r="12" ht="42.75">
      <c r="A12" s="23">
        <v>9</v>
      </c>
      <c r="B12" s="119" t="s">
        <v>370</v>
      </c>
      <c r="C12" s="119" t="s">
        <v>371</v>
      </c>
      <c r="D12" s="109">
        <v>842</v>
      </c>
      <c r="F12" s="97" t="s">
        <v>372</v>
      </c>
    </row>
    <row r="13" ht="42.75">
      <c r="A13" s="23">
        <v>10</v>
      </c>
      <c r="B13" s="119" t="s">
        <v>373</v>
      </c>
      <c r="C13" s="119" t="s">
        <v>374</v>
      </c>
      <c r="D13" s="109">
        <v>851</v>
      </c>
      <c r="F13" s="97" t="s">
        <v>375</v>
      </c>
    </row>
    <row r="14" ht="28.5">
      <c r="A14" s="23">
        <v>11</v>
      </c>
      <c r="B14" s="119" t="s">
        <v>376</v>
      </c>
      <c r="C14" s="119" t="s">
        <v>377</v>
      </c>
      <c r="D14" s="109">
        <v>826</v>
      </c>
    </row>
    <row r="15" ht="28.5">
      <c r="A15" s="23">
        <v>12</v>
      </c>
      <c r="B15" s="119" t="s">
        <v>378</v>
      </c>
      <c r="C15" s="119" t="s">
        <v>379</v>
      </c>
      <c r="D15" s="109">
        <v>815</v>
      </c>
      <c r="F15" s="97" t="s">
        <v>326</v>
      </c>
    </row>
    <row r="16" ht="42.75">
      <c r="A16" s="23">
        <v>13</v>
      </c>
      <c r="B16" s="119" t="s">
        <v>380</v>
      </c>
      <c r="C16" s="119" t="s">
        <v>381</v>
      </c>
      <c r="D16" s="109">
        <v>816</v>
      </c>
      <c r="F16" s="97" t="s">
        <v>382</v>
      </c>
    </row>
    <row r="17" ht="28.5">
      <c r="A17" s="23">
        <v>14</v>
      </c>
      <c r="B17" s="119" t="s">
        <v>383</v>
      </c>
      <c r="C17" s="119" t="s">
        <v>384</v>
      </c>
      <c r="D17" s="109">
        <v>825</v>
      </c>
    </row>
    <row r="18" ht="28.5">
      <c r="A18" s="23">
        <v>15</v>
      </c>
      <c r="B18" s="119" t="s">
        <v>385</v>
      </c>
      <c r="C18" s="119" t="s">
        <v>386</v>
      </c>
      <c r="D18" s="109">
        <v>893</v>
      </c>
      <c r="F18" s="97" t="s">
        <v>327</v>
      </c>
    </row>
    <row r="19" ht="42.75">
      <c r="A19" s="23">
        <v>16</v>
      </c>
      <c r="B19" s="119" t="s">
        <v>387</v>
      </c>
      <c r="C19" s="119" t="s">
        <v>388</v>
      </c>
      <c r="D19" s="109">
        <v>827</v>
      </c>
      <c r="F19" s="97" t="s">
        <v>389</v>
      </c>
    </row>
    <row r="20" ht="28.5">
      <c r="A20" s="23">
        <v>17</v>
      </c>
      <c r="B20" s="119" t="s">
        <v>390</v>
      </c>
      <c r="C20" s="119" t="s">
        <v>391</v>
      </c>
      <c r="D20" s="109">
        <v>847</v>
      </c>
    </row>
    <row r="21" ht="28.5">
      <c r="A21" s="23">
        <v>18</v>
      </c>
      <c r="B21" s="119" t="s">
        <v>392</v>
      </c>
      <c r="C21" s="119" t="s">
        <v>393</v>
      </c>
      <c r="D21" s="109">
        <v>892</v>
      </c>
      <c r="F21" s="97" t="s">
        <v>328</v>
      </c>
    </row>
    <row r="22" ht="36.75" customHeight="1">
      <c r="A22" s="23">
        <v>19</v>
      </c>
      <c r="B22" s="119" t="s">
        <v>394</v>
      </c>
      <c r="C22" s="119" t="s">
        <v>395</v>
      </c>
      <c r="D22" s="109">
        <v>831</v>
      </c>
      <c r="F22" s="97" t="s">
        <v>335</v>
      </c>
    </row>
    <row r="23" ht="28.5">
      <c r="A23" s="23">
        <v>20</v>
      </c>
      <c r="B23" s="119" t="s">
        <v>396</v>
      </c>
      <c r="C23" s="119" t="s">
        <v>397</v>
      </c>
      <c r="D23" s="109">
        <v>854</v>
      </c>
    </row>
    <row r="24" ht="28.5">
      <c r="A24" s="23">
        <v>21</v>
      </c>
      <c r="B24" s="119" t="s">
        <v>398</v>
      </c>
      <c r="C24" s="119" t="s">
        <v>399</v>
      </c>
      <c r="D24" s="109">
        <v>832</v>
      </c>
    </row>
    <row r="25" ht="28.5">
      <c r="A25" s="23">
        <v>22</v>
      </c>
      <c r="B25" s="119" t="s">
        <v>400</v>
      </c>
      <c r="C25" s="119" t="s">
        <v>401</v>
      </c>
      <c r="D25" s="109">
        <v>823</v>
      </c>
    </row>
    <row r="26" ht="28.5">
      <c r="A26" s="23">
        <v>23</v>
      </c>
      <c r="B26" s="119" t="s">
        <v>402</v>
      </c>
      <c r="C26" s="119" t="s">
        <v>403</v>
      </c>
      <c r="D26" s="109">
        <v>820</v>
      </c>
    </row>
    <row r="27" ht="42.75">
      <c r="A27" s="23">
        <v>24</v>
      </c>
      <c r="B27" s="119" t="s">
        <v>404</v>
      </c>
      <c r="C27" s="119" t="s">
        <v>405</v>
      </c>
      <c r="D27" s="109">
        <v>819</v>
      </c>
    </row>
    <row r="28" ht="28.5">
      <c r="A28" s="23">
        <v>25</v>
      </c>
      <c r="B28" s="119" t="s">
        <v>177</v>
      </c>
      <c r="C28" s="119" t="s">
        <v>406</v>
      </c>
      <c r="D28" s="109">
        <v>818</v>
      </c>
    </row>
    <row r="29" ht="28.5">
      <c r="A29" s="23">
        <v>26</v>
      </c>
      <c r="B29" s="119" t="s">
        <v>407</v>
      </c>
      <c r="C29" s="119" t="s">
        <v>408</v>
      </c>
      <c r="D29" s="109">
        <v>822</v>
      </c>
    </row>
    <row r="30" ht="28.5">
      <c r="A30" s="23">
        <v>27</v>
      </c>
      <c r="B30" s="119" t="s">
        <v>409</v>
      </c>
      <c r="C30" s="119" t="s">
        <v>410</v>
      </c>
      <c r="D30" s="109">
        <v>821</v>
      </c>
    </row>
    <row r="31">
      <c r="A31" s="8"/>
      <c r="B31" s="97"/>
      <c r="C31" s="97"/>
      <c r="D31" s="211"/>
    </row>
    <row r="32">
      <c r="A32" s="8">
        <v>2</v>
      </c>
      <c r="B32" s="8">
        <v>3</v>
      </c>
      <c r="C32" s="210">
        <v>5</v>
      </c>
    </row>
    <row r="33">
      <c r="A33" s="22"/>
      <c r="B33" s="24"/>
      <c r="C33" s="22"/>
    </row>
    <row r="34">
      <c r="A34" s="22">
        <v>1</v>
      </c>
      <c r="B34" s="24" t="s">
        <v>411</v>
      </c>
      <c r="C34" s="22" t="s">
        <v>24</v>
      </c>
      <c r="E34" t="s">
        <v>412</v>
      </c>
      <c r="F34" t="s">
        <v>329</v>
      </c>
    </row>
    <row r="35">
      <c r="A35" s="22">
        <v>2</v>
      </c>
      <c r="B35" s="24" t="s">
        <v>182</v>
      </c>
      <c r="C35" s="22" t="s">
        <v>25</v>
      </c>
      <c r="E35" t="s">
        <v>330</v>
      </c>
      <c r="F35" t="s">
        <v>413</v>
      </c>
    </row>
    <row r="36">
      <c r="A36" s="22">
        <v>3</v>
      </c>
      <c r="B36" s="24" t="s">
        <v>414</v>
      </c>
      <c r="C36" t="s">
        <v>26</v>
      </c>
      <c r="E36" t="s">
        <v>415</v>
      </c>
      <c r="F36" t="s">
        <v>416</v>
      </c>
    </row>
    <row r="37">
      <c r="A37" s="22">
        <v>4</v>
      </c>
      <c r="B37" s="210">
        <v>4</v>
      </c>
      <c r="C37" s="22" t="s">
        <v>27</v>
      </c>
      <c r="E37" t="s">
        <v>336</v>
      </c>
    </row>
    <row r="38">
      <c r="A38" s="22">
        <v>5</v>
      </c>
      <c r="B38" s="22"/>
      <c r="C38" s="22" t="s">
        <v>28</v>
      </c>
    </row>
    <row r="39">
      <c r="A39" s="22">
        <v>6</v>
      </c>
      <c r="B39" s="22" t="s">
        <v>30</v>
      </c>
      <c r="F39" t="s">
        <v>297</v>
      </c>
    </row>
    <row r="40">
      <c r="A40" s="22">
        <v>7</v>
      </c>
      <c r="B40" s="22" t="s">
        <v>31</v>
      </c>
      <c r="F40" t="s">
        <v>417</v>
      </c>
    </row>
    <row r="41">
      <c r="A41" s="22">
        <v>8</v>
      </c>
      <c r="B41" s="22" t="s">
        <v>32</v>
      </c>
      <c r="F41" t="s">
        <v>305</v>
      </c>
    </row>
    <row r="42">
      <c r="A42" s="22">
        <v>9</v>
      </c>
      <c r="B42" s="22" t="s">
        <v>418</v>
      </c>
    </row>
    <row r="46">
      <c r="B46" t="s">
        <v>419</v>
      </c>
    </row>
    <row r="48">
      <c r="F48" t="s">
        <v>420</v>
      </c>
    </row>
    <row r="50">
      <c r="F50" t="s">
        <v>421</v>
      </c>
    </row>
    <row r="51">
      <c r="E51" t="s">
        <v>422</v>
      </c>
      <c r="F51" t="s">
        <v>423</v>
      </c>
    </row>
    <row r="52">
      <c r="E52" t="s">
        <v>424</v>
      </c>
      <c r="F52" t="s">
        <v>425</v>
      </c>
    </row>
    <row r="53">
      <c r="E53" t="s">
        <v>298</v>
      </c>
      <c r="F53" t="s">
        <v>426</v>
      </c>
    </row>
  </sheetData>
  <mergeCells count="1">
    <mergeCell ref="A1:D1"/>
  </mergeCells>
  <hyperlinks>
    <hyperlink r:id="rId1" ref="B25"/>
    <hyperlink r:id="rId2" ref="B29"/>
  </hyperlinks>
  <printOptions headings="0" gridLines="0"/>
  <pageMargins left="0.69999999999999996" right="0.69999999999999996" top="0.36999999999999988" bottom="0.34000000000000002" header="0.29999999999999999" footer="0.29999999999999999"/>
  <pageSetup paperSize="9" scale="97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2">
    <outlinePr applyStyles="0" summaryBelow="1" summaryRight="1" showOutlineSymbols="1"/>
    <pageSetUpPr autoPageBreaks="1" fitToPage="0"/>
  </sheetPr>
  <sheetViews>
    <sheetView zoomScale="100" workbookViewId="0">
      <selection activeCell="O19" activeCellId="0" sqref="O19"/>
    </sheetView>
  </sheetViews>
  <sheetFormatPr defaultRowHeight="14.25"/>
  <cols>
    <col customWidth="1" min="1" max="1" width="32.28515625"/>
    <col customWidth="1" min="2" max="2" width="13.7109375"/>
    <col customWidth="1" min="3" max="3" width="17.5703125"/>
    <col customWidth="1" min="4" max="4" width="26.42578125"/>
    <col customWidth="1" min="5" max="5" width="14.5703125"/>
    <col customWidth="1" min="6" max="6" width="17.7109375"/>
    <col customWidth="1" min="7" max="7" width="17.42578125"/>
    <col customWidth="1" min="8" max="8" width="16.5703125"/>
    <col customWidth="1" min="9" max="9" width="23"/>
    <col customWidth="1" min="10" max="10" width="14.42578125"/>
    <col customWidth="1" min="11" max="14" width="12.85546875"/>
    <col customWidth="1" min="15" max="15" width="23"/>
  </cols>
  <sheetData>
    <row r="5" ht="34.5" customHeight="1">
      <c r="A5" s="13" t="s">
        <v>153</v>
      </c>
      <c r="B5" s="14" t="s">
        <v>154</v>
      </c>
      <c r="C5" s="14" t="s">
        <v>155</v>
      </c>
      <c r="D5" s="14" t="s">
        <v>156</v>
      </c>
      <c r="E5" s="14" t="s">
        <v>157</v>
      </c>
      <c r="F5" s="14" t="s">
        <v>158</v>
      </c>
      <c r="G5" s="14"/>
      <c r="H5" s="14"/>
      <c r="I5" s="14" t="s">
        <v>159</v>
      </c>
      <c r="J5" s="14"/>
      <c r="K5" s="14"/>
      <c r="L5" s="14"/>
      <c r="M5" s="14"/>
      <c r="N5" s="14"/>
      <c r="O5" s="14" t="s">
        <v>160</v>
      </c>
    </row>
    <row r="6">
      <c r="A6" s="15"/>
      <c r="B6" s="14"/>
      <c r="C6" s="14"/>
      <c r="D6" s="14"/>
      <c r="E6" s="14"/>
      <c r="F6" s="14"/>
      <c r="G6" s="14"/>
      <c r="H6" s="14"/>
      <c r="I6" s="14" t="s">
        <v>161</v>
      </c>
      <c r="J6" s="14" t="s">
        <v>162</v>
      </c>
      <c r="K6" s="14" t="s">
        <v>163</v>
      </c>
      <c r="L6" s="14" t="s">
        <v>164</v>
      </c>
      <c r="M6" s="14"/>
      <c r="N6" s="14"/>
      <c r="O6" s="14"/>
    </row>
    <row r="7" ht="42.75">
      <c r="A7" s="15"/>
      <c r="B7" s="13"/>
      <c r="C7" s="13"/>
      <c r="D7" s="13"/>
      <c r="E7" s="13"/>
      <c r="F7" s="13" t="s">
        <v>165</v>
      </c>
      <c r="G7" s="13" t="s">
        <v>166</v>
      </c>
      <c r="H7" s="13" t="s">
        <v>167</v>
      </c>
      <c r="I7" s="13"/>
      <c r="J7" s="13"/>
      <c r="K7" s="13"/>
      <c r="L7" s="13" t="s">
        <v>168</v>
      </c>
      <c r="M7" s="13" t="s">
        <v>169</v>
      </c>
      <c r="N7" s="13" t="s">
        <v>170</v>
      </c>
      <c r="O7" s="13"/>
    </row>
    <row r="8">
      <c r="A8" s="16" t="str">
        <f>IF('Р 1. "Общие сведения"'!I8="","",'Р 1. "Общие сведения"'!I8)</f>
        <v xml:space="preserve">Эксплуатация Связь и Интернет</v>
      </c>
      <c r="B8" s="17" t="str">
        <f>IF('Р 1. "Общие сведения"'!J8="","",'Р 1. "Общие сведения"'!J8)</f>
        <v>818.Э.001</v>
      </c>
      <c r="C8" s="17" t="str">
        <f>IF('Р 1. "Общие сведения"'!H8="","",'Р 1. "Общие сведения"'!H8)</f>
        <v>Эксплуатация</v>
      </c>
      <c r="D8" s="17" t="str">
        <f>IF('Р 1. "Общие сведения"'!D8="","",'Р 1. "Общие сведения"'!D8)</f>
        <v xml:space="preserve">Связь и Интернет</v>
      </c>
      <c r="E8" s="17" t="str">
        <f>IF('Р 1. "Общие сведения"'!K8="","",'Р 1. "Общие сведения"'!K8)</f>
        <v>отсутствует</v>
      </c>
      <c r="F8" s="18">
        <f>IF(OR(Таблица26[[#This Row],[Столбец1]]="",Таблица26[[#This Row],[Столбец5]]="",),"",VLOOKUP(A8,Таблица9[#All],2,FALSE))</f>
        <v>83.400000000000006</v>
      </c>
      <c r="G8" s="18">
        <f>IF(OR(Таблица26[[#This Row],[Столбец1]]="",Таблица26[[#This Row],[Столбец5]]=""),"",VLOOKUP(A8,'Р 5. Финансирование'!$A$9:$D$89,3,FALSE))</f>
        <v>83.400000000000006</v>
      </c>
      <c r="H8" s="18">
        <f>IF(OR(Таблица26[[#This Row],[Столбец1]]="",Таблица26[[#This Row],[Столбец5]]=""),"",VLOOKUP(A8,'Р 5. Финансирование'!$A$9:$D$89,4,FALSE))</f>
        <v>83.400000000000006</v>
      </c>
      <c r="I8" s="17" t="str">
        <f>IF(OR(Таблица26[[#This Row],[Столбец5]]="отсутствует",Таблица26[[#This Row],[Столбец5]]=""),"",VLOOKUP(A8,'Р 4. Показатели_индикаторы'!$A$9:$J$103,3,FALSE))</f>
        <v/>
      </c>
      <c r="J8" s="17" t="str">
        <f>IF(OR(Таблица26[[#This Row],[Столбец5]]="отсутствует",Таблица26[[#This Row],[Столбец5]]=""),"",VLOOKUP(A8,'Р 4. Показатели_индикаторы'!$A$9:$J$103,4,FALSE))</f>
        <v/>
      </c>
      <c r="K8" s="17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Показатели_индикаторы'!$A$9:$J$103,5,FALSE))</f>
        <v/>
      </c>
      <c r="L8" s="17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Показатели_индикаторы'!$A$9:$J$103,6,FALSE))</f>
        <v/>
      </c>
      <c r="M8" s="17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Показатели_индикаторы'!$A$9:$J$103,7,FALSE))</f>
        <v/>
      </c>
      <c r="N8" s="17" t="str">
        <f>IF(OR(Таблица26[[#This Row],[Столбец1]]="",Таблица26[[#This Row],[Столбец5]]="",Таблица26[[#This Row],[Столбец5]]="отсутствует"),"",VLOOKUP(A8,'Р 4. Показатели_индикаторы'!$A$9:$J$103,8,FALSE))</f>
        <v/>
      </c>
      <c r="O8" s="19" t="str">
        <f>IF(VLOOKUP(A8,'Р 1. "Общие сведения"'!$I$8:$L$180,4,FALSE)="","",VLOOKUP(A8,'Р 1. "Общие сведения"'!$I$8:$L$180,4,FALSE))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9">
      <c r="A9" s="16" t="str">
        <f>IF('Р 1. "Общие сведения"'!I9="","",'Р 1. "Общие сведения"'!I9)</f>
        <v xml:space="preserve">Эксплуатация Оргтехника</v>
      </c>
      <c r="B9" s="17" t="str">
        <f>IF('Р 1. "Общие сведения"'!J9="","",'Р 1. "Общие сведения"'!J9)</f>
        <v>818.Э.002</v>
      </c>
      <c r="C9" s="17" t="str">
        <f>IF('Р 1. "Общие сведения"'!H9="","",'Р 1. "Общие сведения"'!H9)</f>
        <v>Эксплуатация</v>
      </c>
      <c r="D9" s="17" t="str">
        <f>IF('Р 1. "Общие сведения"'!D9="","",'Р 1. "Общие сведения"'!D9)</f>
        <v>Оргтехника</v>
      </c>
      <c r="E9" s="17" t="str">
        <f>IF('Р 1. "Общие сведения"'!K9="","",'Р 1. "Общие сведения"'!K9)</f>
        <v>отсутствует</v>
      </c>
      <c r="F9" s="18">
        <f>IF(OR(Таблица26[[#This Row],[Столбец1]]="",Таблица26[[#This Row],[Столбец5]]="",),"",VLOOKUP(A9,Таблица9[#All],2,FALSE))</f>
        <v>165</v>
      </c>
      <c r="G9" s="18">
        <f>IF(OR(Таблица26[[#This Row],[Столбец1]]="",Таблица26[[#This Row],[Столбец5]]=""),"",VLOOKUP(A9,'Р 5. Финансирование'!$A$9:$D$89,3,FALSE))</f>
        <v>165</v>
      </c>
      <c r="H9" s="18">
        <f>IF(OR(Таблица26[[#This Row],[Столбец1]]="",Таблица26[[#This Row],[Столбец5]]=""),"",VLOOKUP(A9,'Р 5. Финансирование'!$A$9:$D$89,4,FALSE))</f>
        <v>165</v>
      </c>
      <c r="I9" s="17" t="str">
        <f>IF(OR(Таблица26[[#This Row],[Столбец5]]="отсутствует",Таблица26[[#This Row],[Столбец5]]=""),"",VLOOKUP(A9,'Р 4. Показатели_индикаторы'!$A$9:$J$103,3,FALSE))</f>
        <v/>
      </c>
      <c r="J9" s="20" t="str">
        <f>IF(OR(Таблица26[[#This Row],[Столбец5]]="отсутствует",Таблица26[[#This Row],[Столбец5]]=""),"",VLOOKUP(A9,'Р 4. Показатели_индикаторы'!$A$9:$J$103,4,FALSE))</f>
        <v/>
      </c>
      <c r="K9" s="20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Показатели_индикаторы'!$A$9:$J$103,5,FALSE))</f>
        <v/>
      </c>
      <c r="L9" s="20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Показатели_индикаторы'!$A$9:$J$103,6,FALSE))</f>
        <v/>
      </c>
      <c r="M9" s="20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Показатели_индикаторы'!$A$9:$J$103,7,FALSE))</f>
        <v/>
      </c>
      <c r="N9" s="20" t="str">
        <f>IF(OR(Таблица26[[#This Row],[Столбец1]]="",Таблица26[[#This Row],[Столбец5]]="",Таблица26[[#This Row],[Столбец5]]="отсутствует"),"",VLOOKUP(A9,'Р 4. Показатели_индикаторы'!$A$9:$J$103,8,FALSE))</f>
        <v/>
      </c>
      <c r="O9" s="19" t="str">
        <f>IF(VLOOKUP(A9,'Р 1. "Общие сведения"'!$I$8:$L$180,4,FALSE)="","",VLOOKUP(A9,'Р 1. "Общие сведения"'!$I$8:$L$180,4,FALSE))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</row>
    <row r="10">
      <c r="A10" s="16" t="str">
        <f>IF('Р 1. "Общие сведения"'!I10="","",'Р 1. "Общие сведения"'!I10)</f>
        <v xml:space="preserve">Эксплуатация Система электронной отчетности "Контур.Экстерн"</v>
      </c>
      <c r="B10" s="17" t="str">
        <f>IF('Р 1. "Общие сведения"'!J10="","",'Р 1. "Общие сведения"'!J10)</f>
        <v>818.Э.003</v>
      </c>
      <c r="C10" s="17" t="str">
        <f>IF('Р 1. "Общие сведения"'!H10="","",'Р 1. "Общие сведения"'!H10)</f>
        <v>Эксплуатация</v>
      </c>
      <c r="D10" s="17" t="str">
        <f>IF('Р 1. "Общие сведения"'!D10="","",'Р 1. "Общие сведения"'!D10)</f>
        <v xml:space="preserve">Система электронной отчетности "Контур.Экстерн"</v>
      </c>
      <c r="E10" s="17" t="str">
        <f>IF('Р 1. "Общие сведения"'!K10="","",'Р 1. "Общие сведения"'!K10)</f>
        <v>отсутствует</v>
      </c>
      <c r="F10" s="18">
        <f>IF(OR(Таблица26[[#This Row],[Столбец1]]="",Таблица26[[#This Row],[Столбец5]]="",),"",VLOOKUP(A10,Таблица9[#All],2,FALSE))</f>
        <v>1.6000000000000001</v>
      </c>
      <c r="G10" s="18">
        <f>IF(OR(Таблица26[[#This Row],[Столбец1]]="",Таблица26[[#This Row],[Столбец5]]=""),"",VLOOKUP(A10,'Р 5. Финансирование'!$A$9:$D$89,3,FALSE))</f>
        <v>1.6000000000000001</v>
      </c>
      <c r="H10" s="18">
        <f>IF(OR(Таблица26[[#This Row],[Столбец1]]="",Таблица26[[#This Row],[Столбец5]]=""),"",VLOOKUP(A10,'Р 5. Финансирование'!$A$9:$D$89,4,FALSE))</f>
        <v>1.6000000000000001</v>
      </c>
      <c r="I10" s="17" t="str">
        <f>IF(OR(Таблица26[[#This Row],[Столбец5]]="отсутствует",Таблица26[[#This Row],[Столбец5]]=""),"",VLOOKUP(A10,'Р 4. Показатели_индикаторы'!$A$9:$J$103,3,FALSE))</f>
        <v/>
      </c>
      <c r="J10" s="20" t="str">
        <f>IF(OR(Таблица26[[#This Row],[Столбец5]]="отсутствует",Таблица26[[#This Row],[Столбец5]]=""),"",VLOOKUP(A10,'Р 4. Показатели_индикаторы'!$A$9:$J$103,4,FALSE))</f>
        <v/>
      </c>
      <c r="K10" s="20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Показатели_индикаторы'!$A$9:$J$103,5,FALSE))</f>
        <v/>
      </c>
      <c r="L10" s="20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Показатели_индикаторы'!$A$9:$J$103,6,FALSE))</f>
        <v/>
      </c>
      <c r="M10" s="20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Показатели_индикаторы'!$A$9:$J$103,7,FALSE))</f>
        <v/>
      </c>
      <c r="N10" s="20" t="str">
        <f>IF(OR(Таблица26[[#This Row],[Столбец1]]="",Таблица26[[#This Row],[Столбец5]]="",Таблица26[[#This Row],[Столбец5]]="отсутствует"),"",VLOOKUP(A10,'Р 4. Показатели_индикаторы'!$A$9:$J$103,8,FALSE))</f>
        <v/>
      </c>
      <c r="O10" s="19" t="str">
        <f>IF(VLOOKUP(A10,'Р 1. "Общие сведения"'!$I$8:$L$180,4,FALSE)="","",VLOOKUP(A10,'Р 1. "Общие сведения"'!$I$8:$L$180,4,FALSE))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</row>
    <row r="11">
      <c r="A11" s="16" t="str">
        <f>IF('Р 1. "Общие сведения"'!I12="","",'Р 1. "Общие сведения"'!I12)</f>
        <v xml:space="preserve">Эксплуатация  Создание АРМ, оборудование для ЛВС</v>
      </c>
      <c r="B11" s="17" t="str">
        <f>IF('Р 1. "Общие сведения"'!J12="","",'Р 1. "Общие сведения"'!J12)</f>
        <v>818.Э.004</v>
      </c>
      <c r="C11" s="17" t="str">
        <f>IF('Р 1. "Общие сведения"'!H12="","",'Р 1. "Общие сведения"'!H12)</f>
        <v>Эксплуатация</v>
      </c>
      <c r="D11" s="17" t="str">
        <f>IF('Р 1. "Общие сведения"'!D12="","",'Р 1. "Общие сведения"'!D12)</f>
        <v xml:space="preserve"> Создание АРМ, оборудование для ЛВС</v>
      </c>
      <c r="E11" s="17" t="str">
        <f>IF('Р 1. "Общие сведения"'!K12="","",'Р 1. "Общие сведения"'!K12)</f>
        <v>отсутствует</v>
      </c>
      <c r="F11" s="18">
        <f>IF(OR(Таблица26[[#This Row],[Столбец1]]="",Таблица26[[#This Row],[Столбец5]]="",),"",VLOOKUP(A11,Таблица9[#All],2,FALSE))</f>
        <v>65.5</v>
      </c>
      <c r="G11" s="18">
        <f>IF(OR(Таблица26[[#This Row],[Столбец1]]="",Таблица26[[#This Row],[Столбец5]]=""),"",VLOOKUP(A11,'Р 5. Финансирование'!$A$9:$D$89,3,FALSE))</f>
        <v>65.5</v>
      </c>
      <c r="H11" s="18">
        <f>IF(OR(Таблица26[[#This Row],[Столбец1]]="",Таблица26[[#This Row],[Столбец5]]=""),"",VLOOKUP(A11,'Р 5. Финансирование'!$A$9:$D$89,4,FALSE))</f>
        <v>65.5</v>
      </c>
      <c r="I11" s="17" t="str">
        <f>IF(OR(Таблица26[[#This Row],[Столбец5]]="отсутствует",Таблица26[[#This Row],[Столбец5]]=""),"",VLOOKUP(A11,'Р 4. Показатели_индикаторы'!$A$9:$J$103,3,FALSE))</f>
        <v/>
      </c>
      <c r="J11" s="20" t="str">
        <f>IF(OR(Таблица26[[#This Row],[Столбец5]]="отсутствует",Таблица26[[#This Row],[Столбец5]]=""),"",VLOOKUP(A11,'Р 4. Показатели_индикаторы'!$A$9:$J$103,4,FALSE))</f>
        <v/>
      </c>
      <c r="K11" s="20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Показатели_индикаторы'!$A$9:$J$103,5,FALSE))</f>
        <v/>
      </c>
      <c r="L11" s="20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Показатели_индикаторы'!$A$9:$J$103,6,FALSE))</f>
        <v/>
      </c>
      <c r="M11" s="20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Показатели_индикаторы'!$A$9:$J$103,7,FALSE))</f>
        <v/>
      </c>
      <c r="N11" s="20" t="str">
        <f>IF(OR(Таблица26[[#This Row],[Столбец1]]="",Таблица26[[#This Row],[Столбец5]]="",Таблица26[[#This Row],[Столбец5]]="отсутствует"),"",VLOOKUP(A11,'Р 4. Показатели_индикаторы'!$A$9:$J$103,8,FALSE))</f>
        <v/>
      </c>
      <c r="O11" s="19" t="str">
        <f>IF(VLOOKUP(A11,'Р 1. "Общие сведения"'!$I$8:$L$180,4,FALSE)="","",VLOOKUP(A11,'Р 1. "Общие сведения"'!$I$8:$L$180,4,FALSE))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v>
      </c>
    </row>
    <row r="12">
      <c r="A12" s="16" t="str">
        <f>IF('Р 1. "Общие сведения"'!I13="","",'Р 1. "Общие сведения"'!I13)</f>
        <v/>
      </c>
      <c r="B12" s="17" t="str">
        <f>IF('Р 1. "Общие сведения"'!J13="","",'Р 1. "Общие сведения"'!J13)</f>
        <v/>
      </c>
      <c r="C12" s="17" t="str">
        <f>IF('Р 1. "Общие сведения"'!H13="","",'Р 1. "Общие сведения"'!H13)</f>
        <v/>
      </c>
      <c r="D12" s="17" t="str">
        <f>IF('Р 1. "Общие сведения"'!D13="","",'Р 1. "Общие сведения"'!D13)</f>
        <v/>
      </c>
      <c r="E12" s="17" t="str">
        <f>IF('Р 1. "Общие сведения"'!K13="","",'Р 1. "Общие сведения"'!K13)</f>
        <v/>
      </c>
      <c r="F12" s="18" t="str">
        <f>IF(OR(Таблица26[[#This Row],[Столбец1]]="",Таблица26[[#This Row],[Столбец5]]="",),"",VLOOKUP(A12,Таблица9[#All],2,FALSE))</f>
        <v/>
      </c>
      <c r="G12" s="18" t="str">
        <f>IF(OR(Таблица26[[#This Row],[Столбец1]]="",Таблица26[[#This Row],[Столбец5]]=""),"",VLOOKUP(A12,'Р 5. Финансирование'!$A$9:$D$89,3,FALSE))</f>
        <v/>
      </c>
      <c r="H12" s="18" t="str">
        <f>IF(OR(Таблица26[[#This Row],[Столбец1]]="",Таблица26[[#This Row],[Столбец5]]=""),"",VLOOKUP(A12,'Р 5. Финансирование'!$A$9:$D$89,4,FALSE))</f>
        <v/>
      </c>
      <c r="I12" s="17" t="str">
        <f>IF(OR(Таблица26[[#This Row],[Столбец5]]="отсутствует",Таблица26[[#This Row],[Столбец5]]=""),"",VLOOKUP(A12,'Р 4. Показатели_индикаторы'!$A$9:$J$103,3,FALSE))</f>
        <v/>
      </c>
      <c r="J12" s="20" t="str">
        <f>IF(OR(Таблица26[[#This Row],[Столбец5]]="отсутствует",Таблица26[[#This Row],[Столбец5]]=""),"",VLOOKUP(A12,'Р 4. Показатели_индикаторы'!$A$9:$J$103,4,FALSE))</f>
        <v/>
      </c>
      <c r="K12" s="20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Показатели_индикаторы'!$A$9:$J$103,5,FALSE))</f>
        <v/>
      </c>
      <c r="L12" s="20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Показатели_индикаторы'!$A$9:$J$103,6,FALSE))</f>
        <v/>
      </c>
      <c r="M12" s="20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Показатели_индикаторы'!$A$9:$J$103,7,FALSE))</f>
        <v/>
      </c>
      <c r="N12" s="20" t="str">
        <f>IF(OR(Таблица26[[#This Row],[Столбец1]]="",Таблица26[[#This Row],[Столбец5]]="",Таблица26[[#This Row],[Столбец5]]="отсутствует"),"",VLOOKUP(A12,'Р 4. Показатели_индикаторы'!$A$9:$J$103,8,FALSE))</f>
        <v/>
      </c>
      <c r="O12" s="19" t="e">
        <f>IF(VLOOKUP(A12,'Р 1. "Общие сведения"'!$I$8:$L$180,4,FALSE)="","",VLOOKUP(A12,'Р 1. "Общие сведения"'!$I$8:$L$180,4,FALSE))</f>
        <v>#N/A</v>
      </c>
    </row>
    <row r="13">
      <c r="A13" s="16" t="str">
        <f>IF('Р 1. "Общие сведения"'!I14="","",'Р 1. "Общие сведения"'!I14)</f>
        <v/>
      </c>
      <c r="B13" s="17" t="str">
        <f>IF('Р 1. "Общие сведения"'!J14="","",'Р 1. "Общие сведения"'!J14)</f>
        <v/>
      </c>
      <c r="C13" s="17" t="str">
        <f>IF('Р 1. "Общие сведения"'!H14="","",'Р 1. "Общие сведения"'!H14)</f>
        <v/>
      </c>
      <c r="D13" s="17" t="str">
        <f>IF('Р 1. "Общие сведения"'!D14="","",'Р 1. "Общие сведения"'!D14)</f>
        <v/>
      </c>
      <c r="E13" s="17" t="str">
        <f>IF('Р 1. "Общие сведения"'!K14="","",'Р 1. "Общие сведения"'!K14)</f>
        <v/>
      </c>
      <c r="F13" s="18" t="str">
        <f>IF(OR(Таблица26[[#This Row],[Столбец1]]="",Таблица26[[#This Row],[Столбец5]]="",),"",VLOOKUP(A13,Таблица9[#All],2,FALSE))</f>
        <v/>
      </c>
      <c r="G13" s="18" t="str">
        <f>IF(OR(Таблица26[[#This Row],[Столбец1]]="",Таблица26[[#This Row],[Столбец5]]=""),"",VLOOKUP(A13,'Р 5. Финансирование'!$A$9:$D$89,3,FALSE))</f>
        <v/>
      </c>
      <c r="H13" s="18" t="str">
        <f>IF(OR(Таблица26[[#This Row],[Столбец1]]="",Таблица26[[#This Row],[Столбец5]]=""),"",VLOOKUP(A13,'Р 5. Финансирование'!$A$9:$D$89,4,FALSE))</f>
        <v/>
      </c>
      <c r="I13" s="17" t="str">
        <f>IF(OR(Таблица26[[#This Row],[Столбец5]]="отсутствует",Таблица26[[#This Row],[Столбец5]]=""),"",VLOOKUP(A13,'Р 4. Показатели_индикаторы'!$A$9:$J$103,3,FALSE))</f>
        <v/>
      </c>
      <c r="J13" s="20" t="str">
        <f>IF(OR(Таблица26[[#This Row],[Столбец5]]="отсутствует",Таблица26[[#This Row],[Столбец5]]=""),"",VLOOKUP(A13,'Р 4. Показатели_индикаторы'!$A$9:$J$103,4,FALSE))</f>
        <v/>
      </c>
      <c r="K13" s="20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Показатели_индикаторы'!$A$9:$J$103,5,FALSE))</f>
        <v/>
      </c>
      <c r="L13" s="20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Показатели_индикаторы'!$A$9:$J$103,6,FALSE))</f>
        <v/>
      </c>
      <c r="M13" s="20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Показатели_индикаторы'!$A$9:$J$103,7,FALSE))</f>
        <v/>
      </c>
      <c r="N13" s="20" t="str">
        <f>IF(OR(Таблица26[[#This Row],[Столбец1]]="",Таблица26[[#This Row],[Столбец5]]="",Таблица26[[#This Row],[Столбец5]]="отсутствует"),"",VLOOKUP(A13,'Р 4. Показатели_индикаторы'!$A$9:$J$103,8,FALSE))</f>
        <v/>
      </c>
      <c r="O13" s="19" t="e">
        <f>IF(VLOOKUP(A13,'Р 1. "Общие сведения"'!$I$8:$L$180,4,FALSE)="","",VLOOKUP(A13,'Р 1. "Общие сведения"'!$I$8:$L$180,4,FALSE))</f>
        <v>#N/A</v>
      </c>
    </row>
    <row r="14">
      <c r="A14" s="16" t="str">
        <f>IF('Р 1. "Общие сведения"'!I15="","",'Р 1. "Общие сведения"'!I15)</f>
        <v/>
      </c>
      <c r="B14" s="17" t="str">
        <f>IF('Р 1. "Общие сведения"'!J15="","",'Р 1. "Общие сведения"'!J15)</f>
        <v/>
      </c>
      <c r="C14" s="17" t="str">
        <f>IF('Р 1. "Общие сведения"'!H15="","",'Р 1. "Общие сведения"'!H15)</f>
        <v/>
      </c>
      <c r="D14" s="17" t="str">
        <f>IF('Р 1. "Общие сведения"'!D15="","",'Р 1. "Общие сведения"'!D15)</f>
        <v/>
      </c>
      <c r="E14" s="17" t="str">
        <f>IF('Р 1. "Общие сведения"'!K15="","",'Р 1. "Общие сведения"'!K15)</f>
        <v/>
      </c>
      <c r="F14" s="18" t="str">
        <f>IF(OR(Таблица26[[#This Row],[Столбец1]]="",Таблица26[[#This Row],[Столбец5]]="",),"",VLOOKUP(A14,Таблица9[#All],2,FALSE))</f>
        <v/>
      </c>
      <c r="G14" s="18" t="str">
        <f>IF(OR(Таблица26[[#This Row],[Столбец1]]="",Таблица26[[#This Row],[Столбец5]]=""),"",VLOOKUP(A14,'Р 5. Финансирование'!$A$9:$D$89,3,FALSE))</f>
        <v/>
      </c>
      <c r="H14" s="18" t="str">
        <f>IF(OR(Таблица26[[#This Row],[Столбец1]]="",Таблица26[[#This Row],[Столбец5]]=""),"",VLOOKUP(A14,'Р 5. Финансирование'!$A$9:$D$89,4,FALSE))</f>
        <v/>
      </c>
      <c r="I14" s="17" t="str">
        <f>IF(OR(Таблица26[[#This Row],[Столбец5]]="отсутствует",Таблица26[[#This Row],[Столбец5]]=""),"",VLOOKUP(A14,'Р 4. Показатели_индикаторы'!$A$9:$J$103,3,FALSE))</f>
        <v/>
      </c>
      <c r="J14" s="20" t="str">
        <f>IF(OR(Таблица26[[#This Row],[Столбец5]]="отсутствует",Таблица26[[#This Row],[Столбец5]]=""),"",VLOOKUP(A14,'Р 4. Показатели_индикаторы'!$A$9:$J$103,4,FALSE))</f>
        <v/>
      </c>
      <c r="K14" s="20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Показатели_индикаторы'!$A$9:$J$103,5,FALSE))</f>
        <v/>
      </c>
      <c r="L14" s="20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Показатели_индикаторы'!$A$9:$J$103,6,FALSE))</f>
        <v/>
      </c>
      <c r="M14" s="20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Показатели_индикаторы'!$A$9:$J$103,7,FALSE))</f>
        <v/>
      </c>
      <c r="N14" s="20" t="str">
        <f>IF(OR(Таблица26[[#This Row],[Столбец1]]="",Таблица26[[#This Row],[Столбец5]]="",Таблица26[[#This Row],[Столбец5]]="отсутствует"),"",VLOOKUP(A14,'Р 4. Показатели_индикаторы'!$A$9:$J$103,8,FALSE))</f>
        <v/>
      </c>
      <c r="O14" s="19" t="e">
        <f>IF(VLOOKUP(A14,'Р 1. "Общие сведения"'!$I$8:$L$180,4,FALSE)="","",VLOOKUP(A14,'Р 1. "Общие сведения"'!$I$8:$L$180,4,FALSE))</f>
        <v>#N/A</v>
      </c>
    </row>
    <row r="15">
      <c r="A15" s="16" t="str">
        <f>IF('Р 1. "Общие сведения"'!I16="","",'Р 1. "Общие сведения"'!I16)</f>
        <v/>
      </c>
      <c r="B15" s="17" t="str">
        <f>IF('Р 1. "Общие сведения"'!J16="","",'Р 1. "Общие сведения"'!J16)</f>
        <v/>
      </c>
      <c r="C15" s="17" t="str">
        <f>IF('Р 1. "Общие сведения"'!H16="","",'Р 1. "Общие сведения"'!H16)</f>
        <v/>
      </c>
      <c r="D15" s="17" t="str">
        <f>IF('Р 1. "Общие сведения"'!D16="","",'Р 1. "Общие сведения"'!D16)</f>
        <v/>
      </c>
      <c r="E15" s="17" t="str">
        <f>IF('Р 1. "Общие сведения"'!K16="","",'Р 1. "Общие сведения"'!K16)</f>
        <v/>
      </c>
      <c r="F15" s="18" t="str">
        <f>IF(OR(Таблица26[[#This Row],[Столбец1]]="",Таблица26[[#This Row],[Столбец5]]="",),"",VLOOKUP(A15,Таблица9[#All],2,FALSE))</f>
        <v/>
      </c>
      <c r="G15" s="18" t="str">
        <f>IF(OR(Таблица26[[#This Row],[Столбец1]]="",Таблица26[[#This Row],[Столбец5]]=""),"",VLOOKUP(A15,'Р 5. Финансирование'!$A$9:$D$89,3,FALSE))</f>
        <v/>
      </c>
      <c r="H15" s="18" t="str">
        <f>IF(OR(Таблица26[[#This Row],[Столбец1]]="",Таблица26[[#This Row],[Столбец5]]=""),"",VLOOKUP(A15,'Р 5. Финансирование'!$A$9:$D$89,4,FALSE))</f>
        <v/>
      </c>
      <c r="I15" s="17" t="str">
        <f>IF(OR(Таблица26[[#This Row],[Столбец5]]="отсутствует",Таблица26[[#This Row],[Столбец5]]=""),"",VLOOKUP(A15,'Р 4. Показатели_индикаторы'!$A$9:$J$103,3,FALSE))</f>
        <v/>
      </c>
      <c r="J15" s="20" t="str">
        <f>IF(OR(Таблица26[[#This Row],[Столбец5]]="отсутствует",Таблица26[[#This Row],[Столбец5]]=""),"",VLOOKUP(A15,'Р 4. Показатели_индикаторы'!$A$9:$J$103,4,FALSE))</f>
        <v/>
      </c>
      <c r="K15" s="20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Показатели_индикаторы'!$A$9:$J$103,5,FALSE))</f>
        <v/>
      </c>
      <c r="L15" s="20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Показатели_индикаторы'!$A$9:$J$103,6,FALSE))</f>
        <v/>
      </c>
      <c r="M15" s="20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Показатели_индикаторы'!$A$9:$J$103,7,FALSE))</f>
        <v/>
      </c>
      <c r="N15" s="20" t="str">
        <f>IF(OR(Таблица26[[#This Row],[Столбец1]]="",Таблица26[[#This Row],[Столбец5]]="",Таблица26[[#This Row],[Столбец5]]="отсутствует"),"",VLOOKUP(A15,'Р 4. Показатели_индикаторы'!$A$9:$J$103,8,FALSE))</f>
        <v/>
      </c>
      <c r="O15" s="19" t="e">
        <f>IF(VLOOKUP(A15,'Р 1. "Общие сведения"'!$I$8:$L$180,4,FALSE)="","",VLOOKUP(A15,'Р 1. "Общие сведения"'!$I$8:$L$180,4,FALSE))</f>
        <v>#N/A</v>
      </c>
    </row>
    <row r="16">
      <c r="A16" s="16" t="str">
        <f>IF('Р 1. "Общие сведения"'!I17="","",'Р 1. "Общие сведения"'!I17)</f>
        <v/>
      </c>
      <c r="B16" s="17" t="str">
        <f>IF('Р 1. "Общие сведения"'!J17="","",'Р 1. "Общие сведения"'!J17)</f>
        <v/>
      </c>
      <c r="C16" s="17" t="str">
        <f>IF('Р 1. "Общие сведения"'!H17="","",'Р 1. "Общие сведения"'!H17)</f>
        <v/>
      </c>
      <c r="D16" s="17" t="str">
        <f>IF('Р 1. "Общие сведения"'!D17="","",'Р 1. "Общие сведения"'!D17)</f>
        <v/>
      </c>
      <c r="E16" s="17" t="str">
        <f>IF('Р 1. "Общие сведения"'!K17="","",'Р 1. "Общие сведения"'!K17)</f>
        <v/>
      </c>
      <c r="F16" s="18" t="str">
        <f>IF(OR(Таблица26[[#This Row],[Столбец1]]="",Таблица26[[#This Row],[Столбец5]]="",),"",VLOOKUP(A16,Таблица9[#All],2,FALSE))</f>
        <v/>
      </c>
      <c r="G16" s="21" t="str">
        <f>IF(OR(Таблица26[[#This Row],[Столбец1]]="",Таблица26[[#This Row],[Столбец5]]=""),"",VLOOKUP(A16,'Р 5. Финансирование'!$A$9:$D$89,3,FALSE))</f>
        <v/>
      </c>
      <c r="H16" s="21" t="str">
        <f>IF(OR(Таблица26[[#This Row],[Столбец1]]="",Таблица26[[#This Row],[Столбец5]]=""),"",VLOOKUP(A16,'Р 5. Финансирование'!$A$9:$D$89,4,FALSE))</f>
        <v/>
      </c>
      <c r="I16" s="22" t="str">
        <f>IF(OR(Таблица26[[#This Row],[Столбец5]]="отсутствует",Таблица26[[#This Row],[Столбец5]]=""),"",VLOOKUP(A16,'Р 4. Показатели_индикаторы'!$A$9:$J$103,3,FALSE))</f>
        <v/>
      </c>
      <c r="J16" s="20" t="str">
        <f>IF(OR(Таблица26[[#This Row],[Столбец5]]="отсутствует",Таблица26[[#This Row],[Столбец5]]=""),"",VLOOKUP(A16,'Р 4. Показатели_индикаторы'!$A$9:$J$103,4,FALSE))</f>
        <v/>
      </c>
      <c r="K16" s="20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Показатели_индикаторы'!$A$9:$J$103,5,FALSE))</f>
        <v/>
      </c>
      <c r="L16" s="20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Показатели_индикаторы'!$A$9:$J$103,6,FALSE))</f>
        <v/>
      </c>
      <c r="M16" s="20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Показатели_индикаторы'!$A$9:$J$103,7,FALSE))</f>
        <v/>
      </c>
      <c r="N16" s="20" t="str">
        <f>IF(OR(Таблица26[[#This Row],[Столбец1]]="",Таблица26[[#This Row],[Столбец5]]="",Таблица26[[#This Row],[Столбец5]]="отсутствует"),"",VLOOKUP(A16,'Р 4. Показатели_индикаторы'!$A$9:$J$103,8,FALSE))</f>
        <v/>
      </c>
      <c r="O16" s="19" t="e">
        <f>IF(VLOOKUP(A16,'Р 1. "Общие сведения"'!$I$8:$L$180,4,FALSE)="","",VLOOKUP(A16,'Р 1. "Общие сведения"'!$I$8:$L$180,4,FALSE))</f>
        <v>#N/A</v>
      </c>
    </row>
    <row r="17">
      <c r="A17" s="16" t="str">
        <f>IF('Р 1. "Общие сведения"'!I18="","",'Р 1. "Общие сведения"'!I18)</f>
        <v/>
      </c>
      <c r="B17" s="17" t="str">
        <f>IF('Р 1. "Общие сведения"'!J18="","",'Р 1. "Общие сведения"'!J18)</f>
        <v/>
      </c>
      <c r="C17" s="17" t="str">
        <f>IF('Р 1. "Общие сведения"'!H18="","",'Р 1. "Общие сведения"'!H18)</f>
        <v/>
      </c>
      <c r="D17" s="17" t="str">
        <f>IF('Р 1. "Общие сведения"'!D18="","",'Р 1. "Общие сведения"'!D18)</f>
        <v/>
      </c>
      <c r="E17" s="17" t="str">
        <f>IF('Р 1. "Общие сведения"'!K18="","",'Р 1. "Общие сведения"'!K18)</f>
        <v/>
      </c>
      <c r="F17" s="18" t="str">
        <f>IF(OR(Таблица26[[#This Row],[Столбец1]]="",Таблица26[[#This Row],[Столбец5]]="",),"",VLOOKUP(A17,Таблица9[#All],2,FALSE))</f>
        <v/>
      </c>
      <c r="G17" s="21" t="str">
        <f>IF(OR(Таблица26[[#This Row],[Столбец1]]="",Таблица26[[#This Row],[Столбец5]]=""),"",VLOOKUP(A17,'Р 5. Финансирование'!$A$9:$D$89,3,FALSE))</f>
        <v/>
      </c>
      <c r="H17" s="21" t="str">
        <f>IF(OR(Таблица26[[#This Row],[Столбец1]]="",Таблица26[[#This Row],[Столбец5]]=""),"",VLOOKUP(A17,'Р 5. Финансирование'!$A$9:$D$89,4,FALSE))</f>
        <v/>
      </c>
      <c r="I17" s="22" t="str">
        <f>IF(OR(Таблица26[[#This Row],[Столбец5]]="отсутствует",Таблица26[[#This Row],[Столбец5]]=""),"",VLOOKUP(A17,'Р 4. Показатели_индикаторы'!$A$9:$J$103,3,FALSE))</f>
        <v/>
      </c>
      <c r="J17" s="23" t="str">
        <f>IF(OR(Таблица26[[#This Row],[Столбец5]]="отсутствует",Таблица26[[#This Row],[Столбец5]]=""),"",VLOOKUP(A17,'Р 4. Показатели_индикаторы'!$A$9:$J$103,4,FALSE))</f>
        <v/>
      </c>
      <c r="K17" s="23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Показатели_индикаторы'!$A$9:$J$103,5,FALSE))</f>
        <v/>
      </c>
      <c r="L17" s="23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Показатели_индикаторы'!$A$9:$J$103,6,FALSE))</f>
        <v/>
      </c>
      <c r="M17" s="23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Показатели_индикаторы'!$A$9:$J$103,7,FALSE))</f>
        <v/>
      </c>
      <c r="N17" s="23" t="str">
        <f>IF(OR(Таблица26[[#This Row],[Столбец1]]="",Таблица26[[#This Row],[Столбец5]]="",Таблица26[[#This Row],[Столбец5]]="отсутствует"),"",VLOOKUP(A17,'Р 4. Показатели_индикаторы'!$A$9:$J$103,8,FALSE))</f>
        <v/>
      </c>
      <c r="O17" s="24" t="e">
        <f>IF(VLOOKUP(A17,'Р 1. "Общие сведения"'!$I$8:$L$180,4,FALSE)="","",VLOOKUP(A17,'Р 1. "Общие сведения"'!$I$8:$L$180,4,FALSE))</f>
        <v>#N/A</v>
      </c>
    </row>
    <row r="18">
      <c r="A18" s="16" t="str">
        <f>IF('Р 1. "Общие сведения"'!I19="","",'Р 1. "Общие сведения"'!I19)</f>
        <v/>
      </c>
      <c r="B18" s="17" t="str">
        <f>IF('Р 1. "Общие сведения"'!J19="","",'Р 1. "Общие сведения"'!J19)</f>
        <v/>
      </c>
      <c r="C18" s="17" t="str">
        <f>IF('Р 1. "Общие сведения"'!H19="","",'Р 1. "Общие сведения"'!H19)</f>
        <v/>
      </c>
      <c r="D18" s="17" t="str">
        <f>IF('Р 1. "Общие сведения"'!D19="","",'Р 1. "Общие сведения"'!D19)</f>
        <v/>
      </c>
      <c r="E18" s="17" t="str">
        <f>IF('Р 1. "Общие сведения"'!K19="","",'Р 1. "Общие сведения"'!K19)</f>
        <v/>
      </c>
      <c r="F18" s="18" t="str">
        <f>IF(OR(Таблица26[[#This Row],[Столбец1]]="",Таблица26[[#This Row],[Столбец5]]="",),"",VLOOKUP(A18,Таблица9[#All],2,FALSE))</f>
        <v/>
      </c>
      <c r="G18" s="21" t="str">
        <f>IF(OR(Таблица26[[#This Row],[Столбец1]]="",Таблица26[[#This Row],[Столбец5]]=""),"",VLOOKUP(A18,'Р 5. Финансирование'!$A$9:$D$89,3,FALSE))</f>
        <v/>
      </c>
      <c r="H18" s="21" t="str">
        <f>IF(OR(Таблица26[[#This Row],[Столбец1]]="",Таблица26[[#This Row],[Столбец5]]=""),"",VLOOKUP(A18,'Р 5. Финансирование'!$A$9:$D$89,4,FALSE))</f>
        <v/>
      </c>
      <c r="I18" s="22" t="str">
        <f>IF(OR(Таблица26[[#This Row],[Столбец5]]="отсутствует",Таблица26[[#This Row],[Столбец5]]=""),"",VLOOKUP(A18,'Р 4. Показатели_индикаторы'!$A$9:$J$103,3,FALSE))</f>
        <v/>
      </c>
      <c r="J18" s="23" t="str">
        <f>IF(OR(Таблица26[[#This Row],[Столбец5]]="отсутствует",Таблица26[[#This Row],[Столбец5]]=""),"",VLOOKUP(A18,'Р 4. Показатели_индикаторы'!$A$9:$J$103,4,FALSE))</f>
        <v/>
      </c>
      <c r="K18" s="23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Показатели_индикаторы'!$A$9:$J$103,5,FALSE))</f>
        <v/>
      </c>
      <c r="L18" s="23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Показатели_индикаторы'!$A$9:$J$103,6,FALSE))</f>
        <v/>
      </c>
      <c r="M18" s="23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Показатели_индикаторы'!$A$9:$J$103,7,FALSE))</f>
        <v/>
      </c>
      <c r="N18" s="23" t="str">
        <f>IF(OR(Таблица26[[#This Row],[Столбец1]]="",Таблица26[[#This Row],[Столбец5]]="",Таблица26[[#This Row],[Столбец5]]="отсутствует"),"",VLOOKUP(A18,'Р 4. Показатели_индикаторы'!$A$9:$J$103,8,FALSE))</f>
        <v/>
      </c>
      <c r="O18" s="24" t="e">
        <f>IF(VLOOKUP(A18,'Р 1. "Общие сведения"'!$I$8:$L$180,4,FALSE)="","",VLOOKUP(A18,'Р 1. "Общие сведения"'!$I$8:$L$180,4,FALSE))</f>
        <v>#N/A</v>
      </c>
    </row>
    <row r="19">
      <c r="A19" s="16" t="str">
        <f>IF('Р 1. "Общие сведения"'!I20="","",'Р 1. "Общие сведения"'!I20)</f>
        <v/>
      </c>
      <c r="B19" s="17" t="str">
        <f>IF('Р 1. "Общие сведения"'!J20="","",'Р 1. "Общие сведения"'!J20)</f>
        <v/>
      </c>
      <c r="C19" s="17" t="str">
        <f>IF('Р 1. "Общие сведения"'!H20="","",'Р 1. "Общие сведения"'!H20)</f>
        <v/>
      </c>
      <c r="D19" s="17" t="str">
        <f>IF('Р 1. "Общие сведения"'!D20="","",'Р 1. "Общие сведения"'!D20)</f>
        <v/>
      </c>
      <c r="E19" s="17" t="str">
        <f>IF('Р 1. "Общие сведения"'!K20="","",'Р 1. "Общие сведения"'!K20)</f>
        <v/>
      </c>
      <c r="F19" s="18" t="str">
        <f>IF(OR(Таблица26[[#This Row],[Столбец1]]="",Таблица26[[#This Row],[Столбец5]]="",),"",VLOOKUP(A19,Таблица9[#All],2,FALSE))</f>
        <v/>
      </c>
      <c r="G19" s="21" t="str">
        <f>IF(OR(Таблица26[[#This Row],[Столбец1]]="",Таблица26[[#This Row],[Столбец5]]=""),"",VLOOKUP(A19,'Р 5. Финансирование'!$A$9:$D$89,3,FALSE))</f>
        <v/>
      </c>
      <c r="H19" s="21" t="str">
        <f>IF(OR(Таблица26[[#This Row],[Столбец1]]="",Таблица26[[#This Row],[Столбец5]]=""),"",VLOOKUP(A19,'Р 5. Финансирование'!$A$9:$D$89,4,FALSE))</f>
        <v/>
      </c>
      <c r="I19" s="22" t="str">
        <f>IF(OR(Таблица26[[#This Row],[Столбец5]]="отсутствует",Таблица26[[#This Row],[Столбец5]]=""),"",VLOOKUP(A19,'Р 4. Показатели_индикаторы'!$A$9:$J$103,3,FALSE))</f>
        <v/>
      </c>
      <c r="J19" s="23" t="str">
        <f>IF(OR(Таблица26[[#This Row],[Столбец5]]="отсутствует",Таблица26[[#This Row],[Столбец5]]=""),"",VLOOKUP(A19,'Р 4. Показатели_индикаторы'!$A$9:$J$103,4,FALSE))</f>
        <v/>
      </c>
      <c r="K19" s="23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Показатели_индикаторы'!$A$9:$J$103,5,FALSE))</f>
        <v/>
      </c>
      <c r="L19" s="23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Показатели_индикаторы'!$A$9:$J$103,6,FALSE))</f>
        <v/>
      </c>
      <c r="M19" s="23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Показатели_индикаторы'!$A$9:$J$103,7,FALSE))</f>
        <v/>
      </c>
      <c r="N19" s="23" t="str">
        <f>IF(OR(Таблица26[[#This Row],[Столбец1]]="",Таблица26[[#This Row],[Столбец5]]="",Таблица26[[#This Row],[Столбец5]]="отсутствует"),"",VLOOKUP(A19,'Р 4. Показатели_индикаторы'!$A$9:$J$103,8,FALSE))</f>
        <v/>
      </c>
      <c r="O19" s="24" t="e">
        <f>IF(VLOOKUP(A19,'Р 1. "Общие сведения"'!$I$8:$L$180,4,FALSE)="","",VLOOKUP(A19,'Р 1. "Общие сведения"'!$I$8:$L$180,4,FALSE))</f>
        <v>#N/A</v>
      </c>
    </row>
    <row r="20">
      <c r="A20" s="16" t="str">
        <f>IF('Р 1. "Общие сведения"'!I21="","",'Р 1. "Общие сведения"'!I21)</f>
        <v/>
      </c>
      <c r="B20" s="17" t="str">
        <f>IF('Р 1. "Общие сведения"'!J21="","",'Р 1. "Общие сведения"'!J21)</f>
        <v/>
      </c>
      <c r="C20" s="17" t="str">
        <f>IF('Р 1. "Общие сведения"'!H21="","",'Р 1. "Общие сведения"'!H21)</f>
        <v/>
      </c>
      <c r="D20" s="17" t="str">
        <f>IF('Р 1. "Общие сведения"'!D21="","",'Р 1. "Общие сведения"'!D21)</f>
        <v/>
      </c>
      <c r="E20" s="17" t="str">
        <f>IF('Р 1. "Общие сведения"'!K21="","",'Р 1. "Общие сведения"'!K21)</f>
        <v/>
      </c>
      <c r="F20" s="18" t="str">
        <f>IF(OR(Таблица26[[#This Row],[Столбец1]]="",Таблица26[[#This Row],[Столбец5]]="",),"",VLOOKUP(A20,Таблица9[#All],2,FALSE))</f>
        <v/>
      </c>
      <c r="G20" s="21" t="str">
        <f>IF(OR(Таблица26[[#This Row],[Столбец1]]="",Таблица26[[#This Row],[Столбец5]]=""),"",VLOOKUP(A20,'Р 5. Финансирование'!$A$9:$D$89,3,FALSE))</f>
        <v/>
      </c>
      <c r="H20" s="21" t="str">
        <f>IF(OR(Таблица26[[#This Row],[Столбец1]]="",Таблица26[[#This Row],[Столбец5]]=""),"",VLOOKUP(A20,'Р 5. Финансирование'!$A$9:$D$89,4,FALSE))</f>
        <v/>
      </c>
      <c r="I20" s="22" t="str">
        <f>IF(OR(Таблица26[[#This Row],[Столбец5]]="отсутствует",Таблица26[[#This Row],[Столбец5]]=""),"",VLOOKUP(A20,'Р 4. Показатели_индикаторы'!$A$9:$J$103,3,FALSE))</f>
        <v/>
      </c>
      <c r="J20" s="22" t="str">
        <f>IF(OR(Таблица26[[#This Row],[Столбец5]]="отсутствует",Таблица26[[#This Row],[Столбец5]]=""),"",VLOOKUP(A20,'Р 4. Показатели_индикаторы'!$A$9:$J$103,4,FALSE))</f>
        <v/>
      </c>
      <c r="K20" s="22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Показатели_индикаторы'!$A$9:$J$103,5,FALSE))</f>
        <v/>
      </c>
      <c r="L20" s="22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Показатели_индикаторы'!$A$9:$J$103,6,FALSE))</f>
        <v/>
      </c>
      <c r="M20" s="22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Показатели_индикаторы'!$A$9:$J$103,7,FALSE))</f>
        <v/>
      </c>
      <c r="N20" s="22" t="str">
        <f>IF(OR(Таблица26[[#This Row],[Столбец1]]="",Таблица26[[#This Row],[Столбец5]]="",Таблица26[[#This Row],[Столбец5]]="отсутствует"),"",VLOOKUP(A20,'Р 4. Показатели_индикаторы'!$A$9:$J$103,8,FALSE))</f>
        <v/>
      </c>
      <c r="O20" s="24" t="e">
        <f>IF(VLOOKUP(A20,'Р 1. "Общие сведения"'!$I$8:$L$180,4,FALSE)="","",VLOOKUP(A20,'Р 1. "Общие сведения"'!$I$8:$L$180,4,FALSE))</f>
        <v>#N/A</v>
      </c>
    </row>
    <row r="21">
      <c r="A21" s="16" t="str">
        <f>IF('Р 1. "Общие сведения"'!I22="","",'Р 1. "Общие сведения"'!I22)</f>
        <v/>
      </c>
      <c r="B21" s="17" t="str">
        <f>IF('Р 1. "Общие сведения"'!J22="","",'Р 1. "Общие сведения"'!J22)</f>
        <v/>
      </c>
      <c r="C21" s="17" t="str">
        <f>IF('Р 1. "Общие сведения"'!H22="","",'Р 1. "Общие сведения"'!H22)</f>
        <v/>
      </c>
      <c r="D21" s="17" t="str">
        <f>IF('Р 1. "Общие сведения"'!D22="","",'Р 1. "Общие сведения"'!D22)</f>
        <v/>
      </c>
      <c r="E21" s="17" t="str">
        <f>IF('Р 1. "Общие сведения"'!K22="","",'Р 1. "Общие сведения"'!K22)</f>
        <v/>
      </c>
      <c r="F21" s="18" t="str">
        <f>IF(OR(Таблица26[[#This Row],[Столбец1]]="",Таблица26[[#This Row],[Столбец5]]="",),"",VLOOKUP(A21,Таблица9[#All],2,FALSE))</f>
        <v/>
      </c>
      <c r="G21" s="21" t="str">
        <f>IF(OR(Таблица26[[#This Row],[Столбец1]]="",Таблица26[[#This Row],[Столбец5]]=""),"",VLOOKUP(A21,'Р 5. Финансирование'!$A$9:$D$89,3,FALSE))</f>
        <v/>
      </c>
      <c r="H21" s="21" t="str">
        <f>IF(OR(Таблица26[[#This Row],[Столбец1]]="",Таблица26[[#This Row],[Столбец5]]=""),"",VLOOKUP(A21,'Р 5. Финансирование'!$A$9:$D$89,4,FALSE))</f>
        <v/>
      </c>
      <c r="I21" s="22" t="str">
        <f>IF(OR(Таблица26[[#This Row],[Столбец5]]="отсутствует",Таблица26[[#This Row],[Столбец5]]=""),"",VLOOKUP(A21,'Р 4. Показатели_индикаторы'!$A$9:$J$103,3,FALSE))</f>
        <v/>
      </c>
      <c r="J21" s="22" t="str">
        <f>IF(OR(Таблица26[[#This Row],[Столбец5]]="отсутствует",Таблица26[[#This Row],[Столбец5]]=""),"",VLOOKUP(A21,'Р 4. Показатели_индикаторы'!$A$9:$J$103,4,FALSE))</f>
        <v/>
      </c>
      <c r="K21" s="22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Показатели_индикаторы'!$A$9:$J$103,5,FALSE))</f>
        <v/>
      </c>
      <c r="L21" s="22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Показатели_индикаторы'!$A$9:$J$103,6,FALSE))</f>
        <v/>
      </c>
      <c r="M21" s="22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Показатели_индикаторы'!$A$9:$J$103,7,FALSE))</f>
        <v/>
      </c>
      <c r="N21" s="22" t="str">
        <f>IF(OR(Таблица26[[#This Row],[Столбец1]]="",Таблица26[[#This Row],[Столбец5]]="",Таблица26[[#This Row],[Столбец5]]="отсутствует"),"",VLOOKUP(A21,'Р 4. Показатели_индикаторы'!$A$9:$J$103,8,FALSE))</f>
        <v/>
      </c>
      <c r="O21" s="24" t="e">
        <f>IF(VLOOKUP(A21,'Р 1. "Общие сведения"'!$I$8:$L$180,4,FALSE)="","",VLOOKUP(A21,'Р 1. "Общие сведения"'!$I$8:$L$180,4,FALSE))</f>
        <v>#N/A</v>
      </c>
    </row>
    <row r="22">
      <c r="A22" s="16" t="str">
        <f>IF('Р 1. "Общие сведения"'!I23="","",'Р 1. "Общие сведения"'!I23)</f>
        <v/>
      </c>
      <c r="B22" s="17" t="str">
        <f>IF('Р 1. "Общие сведения"'!J23="","",'Р 1. "Общие сведения"'!J23)</f>
        <v/>
      </c>
      <c r="C22" s="17" t="str">
        <f>IF('Р 1. "Общие сведения"'!H23="","",'Р 1. "Общие сведения"'!H23)</f>
        <v/>
      </c>
      <c r="D22" s="17" t="str">
        <f>IF('Р 1. "Общие сведения"'!D23="","",'Р 1. "Общие сведения"'!D23)</f>
        <v/>
      </c>
      <c r="E22" s="17" t="str">
        <f>IF('Р 1. "Общие сведения"'!K23="","",'Р 1. "Общие сведения"'!K23)</f>
        <v/>
      </c>
      <c r="F22" s="18" t="str">
        <f>IF(OR(Таблица26[[#This Row],[Столбец1]]="",Таблица26[[#This Row],[Столбец5]]="",),"",VLOOKUP(A22,Таблица9[#All],2,FALSE))</f>
        <v/>
      </c>
      <c r="G22" s="21" t="str">
        <f>IF(OR(Таблица26[[#This Row],[Столбец1]]="",Таблица26[[#This Row],[Столбец5]]=""),"",VLOOKUP(A22,'Р 5. Финансирование'!$A$9:$D$89,3,FALSE))</f>
        <v/>
      </c>
      <c r="H22" s="21" t="str">
        <f>IF(OR(Таблица26[[#This Row],[Столбец1]]="",Таблица26[[#This Row],[Столбец5]]=""),"",VLOOKUP(A22,'Р 5. Финансирование'!$A$9:$D$89,4,FALSE))</f>
        <v/>
      </c>
      <c r="I22" s="22" t="str">
        <f>IF(OR(Таблица26[[#This Row],[Столбец5]]="отсутствует",Таблица26[[#This Row],[Столбец5]]=""),"",VLOOKUP(A22,'Р 4. Показатели_индикаторы'!$A$9:$J$103,3,FALSE))</f>
        <v/>
      </c>
      <c r="J22" s="22" t="str">
        <f>IF(OR(Таблица26[[#This Row],[Столбец5]]="отсутствует",Таблица26[[#This Row],[Столбец5]]=""),"",VLOOKUP(A22,'Р 4. Показатели_индикаторы'!$A$9:$J$103,4,FALSE))</f>
        <v/>
      </c>
      <c r="K22" s="22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Показатели_индикаторы'!$A$9:$J$103,5,FALSE))</f>
        <v/>
      </c>
      <c r="L22" s="22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Показатели_индикаторы'!$A$9:$J$103,6,FALSE))</f>
        <v/>
      </c>
      <c r="M22" s="22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Показатели_индикаторы'!$A$9:$J$103,7,FALSE))</f>
        <v/>
      </c>
      <c r="N22" s="22" t="str">
        <f>IF(OR(Таблица26[[#This Row],[Столбец1]]="",Таблица26[[#This Row],[Столбец5]]="",Таблица26[[#This Row],[Столбец5]]="отсутствует"),"",VLOOKUP(A22,'Р 4. Показатели_индикаторы'!$A$9:$J$103,8,FALSE))</f>
        <v/>
      </c>
      <c r="O22" s="24" t="e">
        <f>IF(VLOOKUP(A22,'Р 1. "Общие сведения"'!$I$8:$L$180,4,FALSE)="","",VLOOKUP(A22,'Р 1. "Общие сведения"'!$I$8:$L$180,4,FALSE))</f>
        <v>#N/A</v>
      </c>
    </row>
    <row r="23">
      <c r="A23" s="16" t="str">
        <f>IF('Р 1. "Общие сведения"'!I24="","",'Р 1. "Общие сведения"'!I24)</f>
        <v/>
      </c>
      <c r="B23" s="17" t="str">
        <f>IF('Р 1. "Общие сведения"'!J24="","",'Р 1. "Общие сведения"'!J24)</f>
        <v/>
      </c>
      <c r="C23" s="17" t="str">
        <f>IF('Р 1. "Общие сведения"'!H24="","",'Р 1. "Общие сведения"'!H24)</f>
        <v/>
      </c>
      <c r="D23" s="17" t="str">
        <f>IF('Р 1. "Общие сведения"'!D24="","",'Р 1. "Общие сведения"'!D24)</f>
        <v/>
      </c>
      <c r="E23" s="17" t="str">
        <f>IF('Р 1. "Общие сведения"'!K24="","",'Р 1. "Общие сведения"'!K24)</f>
        <v/>
      </c>
      <c r="F23" s="18" t="str">
        <f>IF(OR(Таблица26[[#This Row],[Столбец1]]="",Таблица26[[#This Row],[Столбец5]]="",),"",VLOOKUP(A23,Таблица9[#All],2,FALSE))</f>
        <v/>
      </c>
      <c r="G23" s="21" t="str">
        <f>IF(OR(Таблица26[[#This Row],[Столбец1]]="",Таблица26[[#This Row],[Столбец5]]=""),"",VLOOKUP(A23,'Р 5. Финансирование'!$A$9:$D$89,3,FALSE))</f>
        <v/>
      </c>
      <c r="H23" s="21" t="str">
        <f>IF(OR(Таблица26[[#This Row],[Столбец1]]="",Таблица26[[#This Row],[Столбец5]]=""),"",VLOOKUP(A23,'Р 5. Финансирование'!$A$9:$D$89,4,FALSE))</f>
        <v/>
      </c>
      <c r="I23" s="22" t="str">
        <f>IF(OR(Таблица26[[#This Row],[Столбец5]]="отсутствует",Таблица26[[#This Row],[Столбец5]]=""),"",VLOOKUP(A23,'Р 4. Показатели_индикаторы'!$A$9:$J$103,3,FALSE))</f>
        <v/>
      </c>
      <c r="J23" s="22" t="str">
        <f>IF(OR(Таблица26[[#This Row],[Столбец5]]="отсутствует",Таблица26[[#This Row],[Столбец5]]=""),"",VLOOKUP(A23,'Р 4. Показатели_индикаторы'!$A$9:$J$103,4,FALSE))</f>
        <v/>
      </c>
      <c r="K23" s="22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Показатели_индикаторы'!$A$9:$J$103,5,FALSE))</f>
        <v/>
      </c>
      <c r="L23" s="22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Показатели_индикаторы'!$A$9:$J$103,6,FALSE))</f>
        <v/>
      </c>
      <c r="M23" s="22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Показатели_индикаторы'!$A$9:$J$103,7,FALSE))</f>
        <v/>
      </c>
      <c r="N23" s="22" t="str">
        <f>IF(OR(Таблица26[[#This Row],[Столбец1]]="",Таблица26[[#This Row],[Столбец5]]="",Таблица26[[#This Row],[Столбец5]]="отсутствует"),"",VLOOKUP(A23,'Р 4. Показатели_индикаторы'!$A$9:$J$103,8,FALSE))</f>
        <v/>
      </c>
      <c r="O23" s="24" t="e">
        <f>IF(VLOOKUP(A23,'Р 1. "Общие сведения"'!$I$8:$L$180,4,FALSE)="","",VLOOKUP(A23,'Р 1. "Общие сведения"'!$I$8:$L$180,4,FALSE))</f>
        <v>#N/A</v>
      </c>
    </row>
    <row r="24">
      <c r="A24" s="16" t="str">
        <f>IF('Р 1. "Общие сведения"'!I25="","",'Р 1. "Общие сведения"'!I25)</f>
        <v/>
      </c>
      <c r="B24" s="17" t="str">
        <f>IF('Р 1. "Общие сведения"'!J25="","",'Р 1. "Общие сведения"'!J25)</f>
        <v/>
      </c>
      <c r="C24" s="17" t="str">
        <f>IF('Р 1. "Общие сведения"'!H25="","",'Р 1. "Общие сведения"'!H25)</f>
        <v/>
      </c>
      <c r="D24" s="17" t="str">
        <f>IF('Р 1. "Общие сведения"'!D25="","",'Р 1. "Общие сведения"'!D25)</f>
        <v/>
      </c>
      <c r="E24" s="17" t="str">
        <f>IF('Р 1. "Общие сведения"'!K25="","",'Р 1. "Общие сведения"'!K25)</f>
        <v/>
      </c>
      <c r="F24" s="18" t="str">
        <f>IF(OR(Таблица26[[#This Row],[Столбец1]]="",Таблица26[[#This Row],[Столбец5]]="",),"",VLOOKUP(A24,Таблица9[#All],2,FALSE))</f>
        <v/>
      </c>
      <c r="G24" s="21" t="str">
        <f>IF(OR(Таблица26[[#This Row],[Столбец1]]="",Таблица26[[#This Row],[Столбец5]]=""),"",VLOOKUP(A24,'Р 5. Финансирование'!$A$9:$D$89,3,FALSE))</f>
        <v/>
      </c>
      <c r="H24" s="21" t="str">
        <f>IF(OR(Таблица26[[#This Row],[Столбец1]]="",Таблица26[[#This Row],[Столбец5]]=""),"",VLOOKUP(A24,'Р 5. Финансирование'!$A$9:$D$89,4,FALSE))</f>
        <v/>
      </c>
      <c r="I24" s="22" t="str">
        <f>IF(OR(Таблица26[[#This Row],[Столбец5]]="отсутствует",Таблица26[[#This Row],[Столбец5]]=""),"",VLOOKUP(A24,'Р 4. Показатели_индикаторы'!$A$9:$J$103,3,FALSE))</f>
        <v/>
      </c>
      <c r="J24" s="22" t="str">
        <f>IF(OR(Таблица26[[#This Row],[Столбец5]]="отсутствует",Таблица26[[#This Row],[Столбец5]]=""),"",VLOOKUP(A24,'Р 4. Показатели_индикаторы'!$A$9:$J$103,4,FALSE))</f>
        <v/>
      </c>
      <c r="K24" s="22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Показатели_индикаторы'!$A$9:$J$103,5,FALSE))</f>
        <v/>
      </c>
      <c r="L24" s="22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Показатели_индикаторы'!$A$9:$J$103,6,FALSE))</f>
        <v/>
      </c>
      <c r="M24" s="22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Показатели_индикаторы'!$A$9:$J$103,7,FALSE))</f>
        <v/>
      </c>
      <c r="N24" s="22" t="str">
        <f>IF(OR(Таблица26[[#This Row],[Столбец1]]="",Таблица26[[#This Row],[Столбец5]]="",Таблица26[[#This Row],[Столбец5]]="отсутствует"),"",VLOOKUP(A24,'Р 4. Показатели_индикаторы'!$A$9:$J$103,8,FALSE))</f>
        <v/>
      </c>
      <c r="O24" s="24" t="e">
        <f>IF(VLOOKUP(A24,'Р 1. "Общие сведения"'!$I$8:$L$180,4,FALSE)="","",VLOOKUP(A24,'Р 1. "Общие сведения"'!$I$8:$L$180,4,FALSE))</f>
        <v>#N/A</v>
      </c>
    </row>
    <row r="25">
      <c r="A25" s="16" t="str">
        <f>IF('Р 1. "Общие сведения"'!I26="","",'Р 1. "Общие сведения"'!I26)</f>
        <v xml:space="preserve"> </v>
      </c>
      <c r="B25" s="17" t="str">
        <f>IF('Р 1. "Общие сведения"'!J26="","",'Р 1. "Общие сведения"'!J26)</f>
        <v/>
      </c>
      <c r="C25" s="17" t="str">
        <f>IF('Р 1. "Общие сведения"'!H26="","",'Р 1. "Общие сведения"'!H26)</f>
        <v/>
      </c>
      <c r="D25" s="17" t="str">
        <f>IF('Р 1. "Общие сведения"'!D26="","",'Р 1. "Общие сведения"'!D26)</f>
        <v/>
      </c>
      <c r="E25" s="17" t="str">
        <f>IF('Р 1. "Общие сведения"'!K26="","",'Р 1. "Общие сведения"'!K26)</f>
        <v/>
      </c>
      <c r="F25" s="18" t="str">
        <f>IF(OR(Таблица26[[#This Row],[Столбец1]]="",Таблица26[[#This Row],[Столбец5]]="",),"",VLOOKUP(A25,Таблица9[#All],2,FALSE))</f>
        <v/>
      </c>
      <c r="G25" s="21" t="str">
        <f>IF(OR(Таблица26[[#This Row],[Столбец1]]="",Таблица26[[#This Row],[Столбец5]]=""),"",VLOOKUP(A25,'Р 5. Финансирование'!$A$9:$D$89,3,FALSE))</f>
        <v/>
      </c>
      <c r="H25" s="21" t="str">
        <f>IF(OR(Таблица26[[#This Row],[Столбец1]]="",Таблица26[[#This Row],[Столбец5]]=""),"",VLOOKUP(A25,'Р 5. Финансирование'!$A$9:$D$89,4,FALSE))</f>
        <v/>
      </c>
      <c r="I25" s="22" t="str">
        <f>IF(OR(Таблица26[[#This Row],[Столбец5]]="отсутствует",Таблица26[[#This Row],[Столбец5]]=""),"",VLOOKUP(A25,'Р 4. Показатели_индикаторы'!$A$9:$J$103,3,FALSE))</f>
        <v/>
      </c>
      <c r="J25" s="22" t="str">
        <f>IF(OR(Таблица26[[#This Row],[Столбец5]]="отсутствует",Таблица26[[#This Row],[Столбец5]]=""),"",VLOOKUP(A25,'Р 4. Показатели_индикаторы'!$A$9:$J$103,4,FALSE))</f>
        <v/>
      </c>
      <c r="K25" s="22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Показатели_индикаторы'!$A$9:$J$103,5,FALSE))</f>
        <v/>
      </c>
      <c r="L25" s="22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Показатели_индикаторы'!$A$9:$J$103,6,FALSE))</f>
        <v/>
      </c>
      <c r="M25" s="22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Показатели_индикаторы'!$A$9:$J$103,7,FALSE))</f>
        <v/>
      </c>
      <c r="N25" s="22" t="str">
        <f>IF(OR(Таблица26[[#This Row],[Столбец1]]="",Таблица26[[#This Row],[Столбец5]]="",Таблица26[[#This Row],[Столбец5]]="отсутствует"),"",VLOOKUP(A25,'Р 4. Показатели_индикаторы'!$A$9:$J$103,8,FALSE))</f>
        <v/>
      </c>
      <c r="O25" s="24" t="str">
        <f>IF(VLOOKUP(A25,'Р 1. "Общие сведения"'!$I$8:$L$180,4,FALSE)="","",VLOOKUP(A25,'Р 1. "Общие сведения"'!$I$8:$L$180,4,FALSE))</f>
        <v/>
      </c>
    </row>
    <row r="26">
      <c r="A26" s="16" t="str">
        <f>IF('Р 1. "Общие сведения"'!I27="","",'Р 1. "Общие сведения"'!I27)</f>
        <v xml:space="preserve"> </v>
      </c>
      <c r="B26" s="17" t="str">
        <f>IF('Р 1. "Общие сведения"'!J27="","",'Р 1. "Общие сведения"'!J27)</f>
        <v/>
      </c>
      <c r="C26" s="17" t="str">
        <f>IF('Р 1. "Общие сведения"'!H27="","",'Р 1. "Общие сведения"'!H27)</f>
        <v/>
      </c>
      <c r="D26" s="17" t="str">
        <f>IF('Р 1. "Общие сведения"'!D27="","",'Р 1. "Общие сведения"'!D27)</f>
        <v/>
      </c>
      <c r="E26" s="17" t="str">
        <f>IF('Р 1. "Общие сведения"'!K27="","",'Р 1. "Общие сведения"'!K27)</f>
        <v/>
      </c>
      <c r="F26" s="18" t="str">
        <f>IF(OR(Таблица26[[#This Row],[Столбец1]]="",Таблица26[[#This Row],[Столбец5]]="",),"",VLOOKUP(A26,Таблица9[#All],2,FALSE))</f>
        <v/>
      </c>
      <c r="G26" s="21" t="str">
        <f>IF(OR(Таблица26[[#This Row],[Столбец1]]="",Таблица26[[#This Row],[Столбец5]]=""),"",VLOOKUP(A26,'Р 5. Финансирование'!$A$9:$D$89,3,FALSE))</f>
        <v/>
      </c>
      <c r="H26" s="21" t="str">
        <f>IF(OR(Таблица26[[#This Row],[Столбец1]]="",Таблица26[[#This Row],[Столбец5]]=""),"",VLOOKUP(A26,'Р 5. Финансирование'!$A$9:$D$89,4,FALSE))</f>
        <v/>
      </c>
      <c r="I26" s="22" t="str">
        <f>IF(OR(Таблица26[[#This Row],[Столбец5]]="отсутствует",Таблица26[[#This Row],[Столбец5]]=""),"",VLOOKUP(A26,'Р 4. Показатели_индикаторы'!$A$9:$J$103,3,FALSE))</f>
        <v/>
      </c>
      <c r="J26" s="22" t="str">
        <f>IF(OR(Таблица26[[#This Row],[Столбец5]]="отсутствует",Таблица26[[#This Row],[Столбец5]]=""),"",VLOOKUP(A26,'Р 4. Показатели_индикаторы'!$A$9:$J$103,4,FALSE))</f>
        <v/>
      </c>
      <c r="K26" s="22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Показатели_индикаторы'!$A$9:$J$103,5,FALSE))</f>
        <v/>
      </c>
      <c r="L26" s="22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Показатели_индикаторы'!$A$9:$J$103,6,FALSE))</f>
        <v/>
      </c>
      <c r="M26" s="22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Показатели_индикаторы'!$A$9:$J$103,7,FALSE))</f>
        <v/>
      </c>
      <c r="N26" s="22" t="str">
        <f>IF(OR(Таблица26[[#This Row],[Столбец1]]="",Таблица26[[#This Row],[Столбец5]]="",Таблица26[[#This Row],[Столбец5]]="отсутствует"),"",VLOOKUP(A26,'Р 4. Показатели_индикаторы'!$A$9:$J$103,8,FALSE))</f>
        <v/>
      </c>
      <c r="O26" s="24" t="str">
        <f>IF(VLOOKUP(A26,'Р 1. "Общие сведения"'!$I$8:$L$180,4,FALSE)="","",VLOOKUP(A26,'Р 1. "Общие сведения"'!$I$8:$L$180,4,FALSE))</f>
        <v/>
      </c>
    </row>
    <row r="27">
      <c r="A27" s="16" t="str">
        <f>IF('Р 1. "Общие сведения"'!I28="","",'Р 1. "Общие сведения"'!I28)</f>
        <v xml:space="preserve"> </v>
      </c>
      <c r="B27" s="17" t="str">
        <f>IF('Р 1. "Общие сведения"'!J28="","",'Р 1. "Общие сведения"'!J28)</f>
        <v/>
      </c>
      <c r="C27" s="17" t="str">
        <f>IF('Р 1. "Общие сведения"'!H28="","",'Р 1. "Общие сведения"'!H28)</f>
        <v/>
      </c>
      <c r="D27" s="17" t="str">
        <f>IF('Р 1. "Общие сведения"'!D28="","",'Р 1. "Общие сведения"'!D28)</f>
        <v/>
      </c>
      <c r="E27" s="17" t="str">
        <f>IF('Р 1. "Общие сведения"'!K28="","",'Р 1. "Общие сведения"'!K28)</f>
        <v/>
      </c>
      <c r="F27" s="18" t="str">
        <f>IF(OR(Таблица26[[#This Row],[Столбец1]]="",Таблица26[[#This Row],[Столбец5]]="",),"",VLOOKUP(A27,Таблица9[#All],2,FALSE))</f>
        <v/>
      </c>
      <c r="G27" s="21" t="str">
        <f>IF(OR(Таблица26[[#This Row],[Столбец1]]="",Таблица26[[#This Row],[Столбец5]]=""),"",VLOOKUP(A27,'Р 5. Финансирование'!$A$9:$D$89,3,FALSE))</f>
        <v/>
      </c>
      <c r="H27" s="21" t="str">
        <f>IF(OR(Таблица26[[#This Row],[Столбец1]]="",Таблица26[[#This Row],[Столбец5]]=""),"",VLOOKUP(A27,'Р 5. Финансирование'!$A$9:$D$89,4,FALSE))</f>
        <v/>
      </c>
      <c r="I27" s="22" t="str">
        <f>IF(OR(Таблица26[[#This Row],[Столбец5]]="отсутствует",Таблица26[[#This Row],[Столбец5]]=""),"",VLOOKUP(A27,'Р 4. Показатели_индикаторы'!$A$9:$J$103,3,FALSE))</f>
        <v/>
      </c>
      <c r="J27" s="22" t="str">
        <f>IF(OR(Таблица26[[#This Row],[Столбец5]]="отсутствует",Таблица26[[#This Row],[Столбец5]]=""),"",VLOOKUP(A27,'Р 4. Показатели_индикаторы'!$A$9:$J$103,4,FALSE))</f>
        <v/>
      </c>
      <c r="K27" s="22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Показатели_индикаторы'!$A$9:$J$103,5,FALSE))</f>
        <v/>
      </c>
      <c r="L27" s="22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Показатели_индикаторы'!$A$9:$J$103,6,FALSE))</f>
        <v/>
      </c>
      <c r="M27" s="22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Показатели_индикаторы'!$A$9:$J$103,7,FALSE))</f>
        <v/>
      </c>
      <c r="N27" s="22" t="str">
        <f>IF(OR(Таблица26[[#This Row],[Столбец1]]="",Таблица26[[#This Row],[Столбец5]]="",Таблица26[[#This Row],[Столбец5]]="отсутствует"),"",VLOOKUP(A27,'Р 4. Показатели_индикаторы'!$A$9:$J$103,8,FALSE))</f>
        <v/>
      </c>
      <c r="O27" s="24" t="str">
        <f>IF(VLOOKUP(A27,'Р 1. "Общие сведения"'!$I$8:$L$180,4,FALSE)="","",VLOOKUP(A27,'Р 1. "Общие сведения"'!$I$8:$L$180,4,FALSE))</f>
        <v/>
      </c>
    </row>
    <row r="28">
      <c r="A28" s="16" t="str">
        <f>IF('Р 1. "Общие сведения"'!I29="","",'Р 1. "Общие сведения"'!I29)</f>
        <v xml:space="preserve"> </v>
      </c>
      <c r="B28" s="17" t="str">
        <f>IF('Р 1. "Общие сведения"'!J29="","",'Р 1. "Общие сведения"'!J29)</f>
        <v/>
      </c>
      <c r="C28" s="17" t="str">
        <f>IF('Р 1. "Общие сведения"'!H29="","",'Р 1. "Общие сведения"'!H29)</f>
        <v/>
      </c>
      <c r="D28" s="17" t="str">
        <f>IF('Р 1. "Общие сведения"'!D29="","",'Р 1. "Общие сведения"'!D29)</f>
        <v/>
      </c>
      <c r="E28" s="17" t="str">
        <f>IF('Р 1. "Общие сведения"'!K29="","",'Р 1. "Общие сведения"'!K29)</f>
        <v/>
      </c>
      <c r="F28" s="18" t="str">
        <f>IF(OR(Таблица26[[#This Row],[Столбец1]]="",Таблица26[[#This Row],[Столбец5]]="",),"",VLOOKUP(A28,Таблица9[#All],2,FALSE))</f>
        <v/>
      </c>
      <c r="G28" s="21" t="str">
        <f>IF(OR(Таблица26[[#This Row],[Столбец1]]="",Таблица26[[#This Row],[Столбец5]]=""),"",VLOOKUP(A28,'Р 5. Финансирование'!$A$9:$D$89,3,FALSE))</f>
        <v/>
      </c>
      <c r="H28" s="21" t="str">
        <f>IF(OR(Таблица26[[#This Row],[Столбец1]]="",Таблица26[[#This Row],[Столбец5]]=""),"",VLOOKUP(A28,'Р 5. Финансирование'!$A$9:$D$89,4,FALSE))</f>
        <v/>
      </c>
      <c r="I28" s="22" t="str">
        <f>IF(OR(Таблица26[[#This Row],[Столбец5]]="отсутствует",Таблица26[[#This Row],[Столбец5]]=""),"",VLOOKUP(A28,'Р 4. Показатели_индикаторы'!$A$9:$J$103,3,FALSE))</f>
        <v/>
      </c>
      <c r="J28" s="22" t="str">
        <f>IF(OR(Таблица26[[#This Row],[Столбец5]]="отсутствует",Таблица26[[#This Row],[Столбец5]]=""),"",VLOOKUP(A28,'Р 4. Показатели_индикаторы'!$A$9:$J$103,4,FALSE))</f>
        <v/>
      </c>
      <c r="K28" s="22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Показатели_индикаторы'!$A$9:$J$103,5,FALSE))</f>
        <v/>
      </c>
      <c r="L28" s="22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Показатели_индикаторы'!$A$9:$J$103,6,FALSE))</f>
        <v/>
      </c>
      <c r="M28" s="22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Показатели_индикаторы'!$A$9:$J$103,7,FALSE))</f>
        <v/>
      </c>
      <c r="N28" s="22" t="str">
        <f>IF(OR(Таблица26[[#This Row],[Столбец1]]="",Таблица26[[#This Row],[Столбец5]]="",Таблица26[[#This Row],[Столбец5]]="отсутствует"),"",VLOOKUP(A28,'Р 4. Показатели_индикаторы'!$A$9:$J$103,8,FALSE))</f>
        <v/>
      </c>
      <c r="O28" s="24" t="str">
        <f>IF(VLOOKUP(A28,'Р 1. "Общие сведения"'!$I$8:$L$180,4,FALSE)="","",VLOOKUP(A28,'Р 1. "Общие сведения"'!$I$8:$L$180,4,FALSE))</f>
        <v/>
      </c>
    </row>
    <row r="29">
      <c r="A29" s="16" t="str">
        <f>IF('Р 1. "Общие сведения"'!I30="","",'Р 1. "Общие сведения"'!I30)</f>
        <v xml:space="preserve"> </v>
      </c>
      <c r="B29" s="17" t="str">
        <f>IF('Р 1. "Общие сведения"'!J30="","",'Р 1. "Общие сведения"'!J30)</f>
        <v/>
      </c>
      <c r="C29" s="17" t="str">
        <f>IF('Р 1. "Общие сведения"'!H30="","",'Р 1. "Общие сведения"'!H30)</f>
        <v/>
      </c>
      <c r="D29" s="17" t="str">
        <f>IF('Р 1. "Общие сведения"'!D30="","",'Р 1. "Общие сведения"'!D30)</f>
        <v/>
      </c>
      <c r="E29" s="17" t="str">
        <f>IF('Р 1. "Общие сведения"'!K30="","",'Р 1. "Общие сведения"'!K30)</f>
        <v/>
      </c>
      <c r="F29" s="18" t="str">
        <f>IF(OR(Таблица26[[#This Row],[Столбец1]]="",Таблица26[[#This Row],[Столбец5]]="",),"",VLOOKUP(A29,Таблица9[#All],2,FALSE))</f>
        <v/>
      </c>
      <c r="G29" s="21" t="str">
        <f>IF(OR(Таблица26[[#This Row],[Столбец1]]="",Таблица26[[#This Row],[Столбец5]]=""),"",VLOOKUP(A29,'Р 5. Финансирование'!$A$9:$D$89,3,FALSE))</f>
        <v/>
      </c>
      <c r="H29" s="21" t="str">
        <f>IF(OR(Таблица26[[#This Row],[Столбец1]]="",Таблица26[[#This Row],[Столбец5]]=""),"",VLOOKUP(A29,'Р 5. Финансирование'!$A$9:$D$89,4,FALSE))</f>
        <v/>
      </c>
      <c r="I29" s="22" t="str">
        <f>IF(OR(Таблица26[[#This Row],[Столбец5]]="отсутствует",Таблица26[[#This Row],[Столбец5]]=""),"",VLOOKUP(A29,'Р 4. Показатели_индикаторы'!$A$9:$J$103,3,FALSE))</f>
        <v/>
      </c>
      <c r="J29" s="22" t="str">
        <f>IF(OR(Таблица26[[#This Row],[Столбец5]]="отсутствует",Таблица26[[#This Row],[Столбец5]]=""),"",VLOOKUP(A29,'Р 4. Показатели_индикаторы'!$A$9:$J$103,4,FALSE))</f>
        <v/>
      </c>
      <c r="K29" s="22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Показатели_индикаторы'!$A$9:$J$103,5,FALSE))</f>
        <v/>
      </c>
      <c r="L29" s="22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Показатели_индикаторы'!$A$9:$J$103,6,FALSE))</f>
        <v/>
      </c>
      <c r="M29" s="22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Показатели_индикаторы'!$A$9:$J$103,7,FALSE))</f>
        <v/>
      </c>
      <c r="N29" s="22" t="str">
        <f>IF(OR(Таблица26[[#This Row],[Столбец1]]="",Таблица26[[#This Row],[Столбец5]]="",Таблица26[[#This Row],[Столбец5]]="отсутствует"),"",VLOOKUP(A29,'Р 4. Показатели_индикаторы'!$A$9:$J$103,8,FALSE))</f>
        <v/>
      </c>
      <c r="O29" s="24" t="str">
        <f>IF(VLOOKUP(A29,'Р 1. "Общие сведения"'!$I$8:$L$180,4,FALSE)="","",VLOOKUP(A29,'Р 1. "Общие сведения"'!$I$8:$L$180,4,FALSE))</f>
        <v/>
      </c>
    </row>
    <row r="30">
      <c r="A30" s="16" t="str">
        <f>IF('Р 1. "Общие сведения"'!I31="","",'Р 1. "Общие сведения"'!I31)</f>
        <v xml:space="preserve"> </v>
      </c>
      <c r="B30" s="17" t="str">
        <f>IF('Р 1. "Общие сведения"'!J31="","",'Р 1. "Общие сведения"'!J31)</f>
        <v/>
      </c>
      <c r="C30" s="17" t="str">
        <f>IF('Р 1. "Общие сведения"'!H31="","",'Р 1. "Общие сведения"'!H31)</f>
        <v/>
      </c>
      <c r="D30" s="17" t="str">
        <f>IF('Р 1. "Общие сведения"'!D31="","",'Р 1. "Общие сведения"'!D31)</f>
        <v/>
      </c>
      <c r="E30" s="17" t="str">
        <f>IF('Р 1. "Общие сведения"'!K31="","",'Р 1. "Общие сведения"'!K31)</f>
        <v/>
      </c>
      <c r="F30" s="18" t="str">
        <f>IF(OR(Таблица26[[#This Row],[Столбец1]]="",Таблица26[[#This Row],[Столбец5]]="",),"",VLOOKUP(A30,Таблица9[#All],2,FALSE))</f>
        <v/>
      </c>
      <c r="G30" s="21" t="str">
        <f>IF(OR(Таблица26[[#This Row],[Столбец1]]="",Таблица26[[#This Row],[Столбец5]]=""),"",VLOOKUP(A30,'Р 5. Финансирование'!$A$9:$D$89,3,FALSE))</f>
        <v/>
      </c>
      <c r="H30" s="21" t="str">
        <f>IF(OR(Таблица26[[#This Row],[Столбец1]]="",Таблица26[[#This Row],[Столбец5]]=""),"",VLOOKUP(A30,'Р 5. Финансирование'!$A$9:$D$89,4,FALSE))</f>
        <v/>
      </c>
      <c r="I30" s="22" t="str">
        <f>IF(OR(Таблица26[[#This Row],[Столбец5]]="отсутствует",Таблица26[[#This Row],[Столбец5]]=""),"",VLOOKUP(A30,'Р 4. Показатели_индикаторы'!$A$9:$J$103,3,FALSE))</f>
        <v/>
      </c>
      <c r="J30" s="22" t="str">
        <f>IF(OR(Таблица26[[#This Row],[Столбец5]]="отсутствует",Таблица26[[#This Row],[Столбец5]]=""),"",VLOOKUP(A30,'Р 4. Показатели_индикаторы'!$A$9:$J$103,4,FALSE))</f>
        <v/>
      </c>
      <c r="K30" s="22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Показатели_индикаторы'!$A$9:$J$103,5,FALSE))</f>
        <v/>
      </c>
      <c r="L30" s="22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Показатели_индикаторы'!$A$9:$J$103,6,FALSE))</f>
        <v/>
      </c>
      <c r="M30" s="22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Показатели_индикаторы'!$A$9:$J$103,7,FALSE))</f>
        <v/>
      </c>
      <c r="N30" s="22" t="str">
        <f>IF(OR(Таблица26[[#This Row],[Столбец1]]="",Таблица26[[#This Row],[Столбец5]]="",Таблица26[[#This Row],[Столбец5]]="отсутствует"),"",VLOOKUP(A30,'Р 4. Показатели_индикаторы'!$A$9:$J$103,8,FALSE))</f>
        <v/>
      </c>
      <c r="O30" s="24" t="str">
        <f>IF(VLOOKUP(A30,'Р 1. "Общие сведения"'!$I$8:$L$180,4,FALSE)="","",VLOOKUP(A30,'Р 1. "Общие сведения"'!$I$8:$L$180,4,FALSE))</f>
        <v/>
      </c>
    </row>
    <row r="31">
      <c r="A31" s="16" t="str">
        <f>IF('Р 1. "Общие сведения"'!I32="","",'Р 1. "Общие сведения"'!I32)</f>
        <v xml:space="preserve"> </v>
      </c>
      <c r="B31" s="17" t="str">
        <f>IF('Р 1. "Общие сведения"'!J32="","",'Р 1. "Общие сведения"'!J32)</f>
        <v/>
      </c>
      <c r="C31" s="17" t="str">
        <f>IF('Р 1. "Общие сведения"'!H32="","",'Р 1. "Общие сведения"'!H32)</f>
        <v/>
      </c>
      <c r="D31" s="17" t="str">
        <f>IF('Р 1. "Общие сведения"'!D32="","",'Р 1. "Общие сведения"'!D32)</f>
        <v/>
      </c>
      <c r="E31" s="17" t="str">
        <f>IF('Р 1. "Общие сведения"'!K32="","",'Р 1. "Общие сведения"'!K32)</f>
        <v/>
      </c>
      <c r="F31" s="18" t="str">
        <f>IF(OR(Таблица26[[#This Row],[Столбец1]]="",Таблица26[[#This Row],[Столбец5]]="",),"",VLOOKUP(A31,Таблица9[#All],2,FALSE))</f>
        <v/>
      </c>
      <c r="G31" s="21" t="str">
        <f>IF(OR(Таблица26[[#This Row],[Столбец1]]="",Таблица26[[#This Row],[Столбец5]]=""),"",VLOOKUP(A31,'Р 5. Финансирование'!$A$9:$D$89,3,FALSE))</f>
        <v/>
      </c>
      <c r="H31" s="21" t="str">
        <f>IF(OR(Таблица26[[#This Row],[Столбец1]]="",Таблица26[[#This Row],[Столбец5]]=""),"",VLOOKUP(A31,'Р 5. Финансирование'!$A$9:$D$89,4,FALSE))</f>
        <v/>
      </c>
      <c r="I31" s="22" t="str">
        <f>IF(OR(Таблица26[[#This Row],[Столбец5]]="отсутствует",Таблица26[[#This Row],[Столбец5]]=""),"",VLOOKUP(A31,'Р 4. Показатели_индикаторы'!$A$9:$J$103,3,FALSE))</f>
        <v/>
      </c>
      <c r="J31" s="22" t="str">
        <f>IF(OR(Таблица26[[#This Row],[Столбец5]]="отсутствует",Таблица26[[#This Row],[Столбец5]]=""),"",VLOOKUP(A31,'Р 4. Показатели_индикаторы'!$A$9:$J$103,4,FALSE))</f>
        <v/>
      </c>
      <c r="K31" s="22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Показатели_индикаторы'!$A$9:$J$103,5,FALSE))</f>
        <v/>
      </c>
      <c r="L31" s="22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Показатели_индикаторы'!$A$9:$J$103,6,FALSE))</f>
        <v/>
      </c>
      <c r="M31" s="22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Показатели_индикаторы'!$A$9:$J$103,7,FALSE))</f>
        <v/>
      </c>
      <c r="N31" s="22" t="str">
        <f>IF(OR(Таблица26[[#This Row],[Столбец1]]="",Таблица26[[#This Row],[Столбец5]]="",Таблица26[[#This Row],[Столбец5]]="отсутствует"),"",VLOOKUP(A31,'Р 4. Показатели_индикаторы'!$A$9:$J$103,8,FALSE))</f>
        <v/>
      </c>
      <c r="O31" s="24" t="str">
        <f>IF(VLOOKUP(A31,'Р 1. "Общие сведения"'!$I$8:$L$180,4,FALSE)="","",VLOOKUP(A31,'Р 1. "Общие сведения"'!$I$8:$L$180,4,FALSE))</f>
        <v/>
      </c>
    </row>
    <row r="32">
      <c r="A32" s="16" t="str">
        <f>IF('Р 1. "Общие сведения"'!I33="","",'Р 1. "Общие сведения"'!I33)</f>
        <v xml:space="preserve"> </v>
      </c>
      <c r="B32" s="17" t="str">
        <f>IF('Р 1. "Общие сведения"'!J33="","",'Р 1. "Общие сведения"'!J33)</f>
        <v/>
      </c>
      <c r="C32" s="17" t="str">
        <f>IF('Р 1. "Общие сведения"'!H33="","",'Р 1. "Общие сведения"'!H33)</f>
        <v/>
      </c>
      <c r="D32" s="17" t="str">
        <f>IF('Р 1. "Общие сведения"'!D33="","",'Р 1. "Общие сведения"'!D33)</f>
        <v/>
      </c>
      <c r="E32" s="17" t="str">
        <f>IF('Р 1. "Общие сведения"'!K33="","",'Р 1. "Общие сведения"'!K33)</f>
        <v/>
      </c>
      <c r="F32" s="18" t="str">
        <f>IF(OR(Таблица26[[#This Row],[Столбец1]]="",Таблица26[[#This Row],[Столбец5]]="",),"",VLOOKUP(A32,Таблица9[#All],2,FALSE))</f>
        <v/>
      </c>
      <c r="G32" s="21" t="str">
        <f>IF(OR(Таблица26[[#This Row],[Столбец1]]="",Таблица26[[#This Row],[Столбец5]]=""),"",VLOOKUP(A32,'Р 5. Финансирование'!$A$9:$D$89,3,FALSE))</f>
        <v/>
      </c>
      <c r="H32" s="21" t="str">
        <f>IF(OR(Таблица26[[#This Row],[Столбец1]]="",Таблица26[[#This Row],[Столбец5]]=""),"",VLOOKUP(A32,'Р 5. Финансирование'!$A$9:$D$89,4,FALSE))</f>
        <v/>
      </c>
      <c r="I32" s="22" t="str">
        <f>IF(OR(Таблица26[[#This Row],[Столбец5]]="отсутствует",Таблица26[[#This Row],[Столбец5]]=""),"",VLOOKUP(A32,'Р 4. Показатели_индикаторы'!$A$9:$J$103,3,FALSE))</f>
        <v/>
      </c>
      <c r="J32" s="22" t="str">
        <f>IF(OR(Таблица26[[#This Row],[Столбец5]]="отсутствует",Таблица26[[#This Row],[Столбец5]]=""),"",VLOOKUP(A32,'Р 4. Показатели_индикаторы'!$A$9:$J$103,4,FALSE))</f>
        <v/>
      </c>
      <c r="K32" s="22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Показатели_индикаторы'!$A$9:$J$103,5,FALSE))</f>
        <v/>
      </c>
      <c r="L32" s="22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Показатели_индикаторы'!$A$9:$J$103,6,FALSE))</f>
        <v/>
      </c>
      <c r="M32" s="22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Показатели_индикаторы'!$A$9:$J$103,7,FALSE))</f>
        <v/>
      </c>
      <c r="N32" s="22" t="str">
        <f>IF(OR(Таблица26[[#This Row],[Столбец1]]="",Таблица26[[#This Row],[Столбец5]]="",Таблица26[[#This Row],[Столбец5]]="отсутствует"),"",VLOOKUP(A32,'Р 4. Показатели_индикаторы'!$A$9:$J$103,8,FALSE))</f>
        <v/>
      </c>
      <c r="O32" s="24" t="str">
        <f>IF(VLOOKUP(A32,'Р 1. "Общие сведения"'!$I$8:$L$180,4,FALSE)="","",VLOOKUP(A32,'Р 1. "Общие сведения"'!$I$8:$L$180,4,FALSE))</f>
        <v/>
      </c>
    </row>
    <row r="33">
      <c r="A33" s="16" t="str">
        <f>IF('Р 1. "Общие сведения"'!I34="","",'Р 1. "Общие сведения"'!I34)</f>
        <v xml:space="preserve"> </v>
      </c>
      <c r="B33" s="17" t="str">
        <f>IF('Р 1. "Общие сведения"'!J34="","",'Р 1. "Общие сведения"'!J34)</f>
        <v/>
      </c>
      <c r="C33" s="17" t="str">
        <f>IF('Р 1. "Общие сведения"'!H34="","",'Р 1. "Общие сведения"'!H34)</f>
        <v/>
      </c>
      <c r="D33" s="17" t="str">
        <f>IF('Р 1. "Общие сведения"'!D34="","",'Р 1. "Общие сведения"'!D34)</f>
        <v/>
      </c>
      <c r="E33" s="17" t="str">
        <f>IF('Р 1. "Общие сведения"'!K34="","",'Р 1. "Общие сведения"'!K34)</f>
        <v/>
      </c>
      <c r="F33" s="18" t="str">
        <f>IF(OR(Таблица26[[#This Row],[Столбец1]]="",Таблица26[[#This Row],[Столбец5]]="",),"",VLOOKUP(A33,Таблица9[#All],2,FALSE))</f>
        <v/>
      </c>
      <c r="G33" s="21" t="str">
        <f>IF(OR(Таблица26[[#This Row],[Столбец1]]="",Таблица26[[#This Row],[Столбец5]]=""),"",VLOOKUP(A33,'Р 5. Финансирование'!$A$9:$D$89,3,FALSE))</f>
        <v/>
      </c>
      <c r="H33" s="21" t="str">
        <f>IF(OR(Таблица26[[#This Row],[Столбец1]]="",Таблица26[[#This Row],[Столбец5]]=""),"",VLOOKUP(A33,'Р 5. Финансирование'!$A$9:$D$89,4,FALSE))</f>
        <v/>
      </c>
      <c r="I33" s="22" t="str">
        <f>IF(OR(Таблица26[[#This Row],[Столбец5]]="отсутствует",Таблица26[[#This Row],[Столбец5]]=""),"",VLOOKUP(A33,'Р 4. Показатели_индикаторы'!$A$9:$J$103,3,FALSE))</f>
        <v/>
      </c>
      <c r="J33" s="22" t="str">
        <f>IF(OR(Таблица26[[#This Row],[Столбец5]]="отсутствует",Таблица26[[#This Row],[Столбец5]]=""),"",VLOOKUP(A33,'Р 4. Показатели_индикаторы'!$A$9:$J$103,4,FALSE))</f>
        <v/>
      </c>
      <c r="K33" s="22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Показатели_индикаторы'!$A$9:$J$103,5,FALSE))</f>
        <v/>
      </c>
      <c r="L33" s="22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Показатели_индикаторы'!$A$9:$J$103,6,FALSE))</f>
        <v/>
      </c>
      <c r="M33" s="22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Показатели_индикаторы'!$A$9:$J$103,7,FALSE))</f>
        <v/>
      </c>
      <c r="N33" s="22" t="str">
        <f>IF(OR(Таблица26[[#This Row],[Столбец1]]="",Таблица26[[#This Row],[Столбец5]]="",Таблица26[[#This Row],[Столбец5]]="отсутствует"),"",VLOOKUP(A33,'Р 4. Показатели_индикаторы'!$A$9:$J$103,8,FALSE))</f>
        <v/>
      </c>
      <c r="O33" s="24" t="str">
        <f>IF(VLOOKUP(A33,'Р 1. "Общие сведения"'!$I$8:$L$180,4,FALSE)="","",VLOOKUP(A33,'Р 1. "Общие сведения"'!$I$8:$L$180,4,FALSE))</f>
        <v/>
      </c>
    </row>
    <row r="34">
      <c r="A34" s="16" t="str">
        <f>IF('Р 1. "Общие сведения"'!I35="","",'Р 1. "Общие сведения"'!I35)</f>
        <v xml:space="preserve"> </v>
      </c>
      <c r="B34" s="17" t="str">
        <f>IF('Р 1. "Общие сведения"'!J35="","",'Р 1. "Общие сведения"'!J35)</f>
        <v/>
      </c>
      <c r="C34" s="17" t="str">
        <f>IF('Р 1. "Общие сведения"'!H35="","",'Р 1. "Общие сведения"'!H35)</f>
        <v/>
      </c>
      <c r="D34" s="17" t="str">
        <f>IF('Р 1. "Общие сведения"'!D35="","",'Р 1. "Общие сведения"'!D35)</f>
        <v/>
      </c>
      <c r="E34" s="17" t="str">
        <f>IF('Р 1. "Общие сведения"'!K35="","",'Р 1. "Общие сведения"'!K35)</f>
        <v/>
      </c>
      <c r="F34" s="18" t="str">
        <f>IF(OR(Таблица26[[#This Row],[Столбец1]]="",Таблица26[[#This Row],[Столбец5]]="",),"",VLOOKUP(A34,Таблица9[#All],2,FALSE))</f>
        <v/>
      </c>
      <c r="G34" s="21" t="str">
        <f>IF(OR(Таблица26[[#This Row],[Столбец1]]="",Таблица26[[#This Row],[Столбец5]]=""),"",VLOOKUP(A34,'Р 5. Финансирование'!$A$9:$D$89,3,FALSE))</f>
        <v/>
      </c>
      <c r="H34" s="21" t="str">
        <f>IF(OR(Таблица26[[#This Row],[Столбец1]]="",Таблица26[[#This Row],[Столбец5]]=""),"",VLOOKUP(A34,'Р 5. Финансирование'!$A$9:$D$89,4,FALSE))</f>
        <v/>
      </c>
      <c r="I34" s="22" t="str">
        <f>IF(OR(Таблица26[[#This Row],[Столбец5]]="отсутствует",Таблица26[[#This Row],[Столбец5]]=""),"",VLOOKUP(A34,'Р 4. Показатели_индикаторы'!$A$9:$J$103,3,FALSE))</f>
        <v/>
      </c>
      <c r="J34" s="22" t="str">
        <f>IF(OR(Таблица26[[#This Row],[Столбец5]]="отсутствует",Таблица26[[#This Row],[Столбец5]]=""),"",VLOOKUP(A34,'Р 4. Показатели_индикаторы'!$A$9:$J$103,4,FALSE))</f>
        <v/>
      </c>
      <c r="K34" s="22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Показатели_индикаторы'!$A$9:$J$103,5,FALSE))</f>
        <v/>
      </c>
      <c r="L34" s="22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Показатели_индикаторы'!$A$9:$J$103,6,FALSE))</f>
        <v/>
      </c>
      <c r="M34" s="22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Показатели_индикаторы'!$A$9:$J$103,7,FALSE))</f>
        <v/>
      </c>
      <c r="N34" s="22" t="str">
        <f>IF(OR(Таблица26[[#This Row],[Столбец1]]="",Таблица26[[#This Row],[Столбец5]]="",Таблица26[[#This Row],[Столбец5]]="отсутствует"),"",VLOOKUP(A34,'Р 4. Показатели_индикаторы'!$A$9:$J$103,8,FALSE))</f>
        <v/>
      </c>
      <c r="O34" s="24" t="str">
        <f>IF(VLOOKUP(A34,'Р 1. "Общие сведения"'!$I$8:$L$180,4,FALSE)="","",VLOOKUP(A34,'Р 1. "Общие сведения"'!$I$8:$L$180,4,FALSE))</f>
        <v/>
      </c>
    </row>
    <row r="35">
      <c r="A35" s="16" t="str">
        <f>IF('Р 1. "Общие сведения"'!I36="","",'Р 1. "Общие сведения"'!I36)</f>
        <v xml:space="preserve"> </v>
      </c>
      <c r="B35" s="17" t="str">
        <f>IF('Р 1. "Общие сведения"'!J36="","",'Р 1. "Общие сведения"'!J36)</f>
        <v/>
      </c>
      <c r="C35" s="17" t="str">
        <f>IF('Р 1. "Общие сведения"'!H36="","",'Р 1. "Общие сведения"'!H36)</f>
        <v/>
      </c>
      <c r="D35" s="17" t="str">
        <f>IF('Р 1. "Общие сведения"'!D36="","",'Р 1. "Общие сведения"'!D36)</f>
        <v/>
      </c>
      <c r="E35" s="17" t="str">
        <f>IF('Р 1. "Общие сведения"'!K36="","",'Р 1. "Общие сведения"'!K36)</f>
        <v/>
      </c>
      <c r="F35" s="18" t="str">
        <f>IF(OR(Таблица26[[#This Row],[Столбец1]]="",Таблица26[[#This Row],[Столбец5]]="",),"",VLOOKUP(A35,Таблица9[#All],2,FALSE))</f>
        <v/>
      </c>
      <c r="G35" s="21" t="str">
        <f>IF(OR(Таблица26[[#This Row],[Столбец1]]="",Таблица26[[#This Row],[Столбец5]]=""),"",VLOOKUP(A35,'Р 5. Финансирование'!$A$9:$D$89,3,FALSE))</f>
        <v/>
      </c>
      <c r="H35" s="21" t="str">
        <f>IF(OR(Таблица26[[#This Row],[Столбец1]]="",Таблица26[[#This Row],[Столбец5]]=""),"",VLOOKUP(A35,'Р 5. Финансирование'!$A$9:$D$89,4,FALSE))</f>
        <v/>
      </c>
      <c r="I35" s="22" t="str">
        <f>IF(OR(Таблица26[[#This Row],[Столбец5]]="отсутствует",Таблица26[[#This Row],[Столбец5]]=""),"",VLOOKUP(A35,'Р 4. Показатели_индикаторы'!$A$9:$J$103,3,FALSE))</f>
        <v/>
      </c>
      <c r="J35" s="22" t="str">
        <f>IF(OR(Таблица26[[#This Row],[Столбец5]]="отсутствует",Таблица26[[#This Row],[Столбец5]]=""),"",VLOOKUP(A35,'Р 4. Показатели_индикаторы'!$A$9:$J$103,4,FALSE))</f>
        <v/>
      </c>
      <c r="K35" s="22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Показатели_индикаторы'!$A$9:$J$103,5,FALSE))</f>
        <v/>
      </c>
      <c r="L35" s="22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Показатели_индикаторы'!$A$9:$J$103,6,FALSE))</f>
        <v/>
      </c>
      <c r="M35" s="22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Показатели_индикаторы'!$A$9:$J$103,7,FALSE))</f>
        <v/>
      </c>
      <c r="N35" s="22" t="str">
        <f>IF(OR(Таблица26[[#This Row],[Столбец1]]="",Таблица26[[#This Row],[Столбец5]]="",Таблица26[[#This Row],[Столбец5]]="отсутствует"),"",VLOOKUP(A35,'Р 4. Показатели_индикаторы'!$A$9:$J$103,8,FALSE))</f>
        <v/>
      </c>
      <c r="O35" s="24" t="str">
        <f>IF(VLOOKUP(A35,'Р 1. "Общие сведения"'!$I$8:$L$180,4,FALSE)="","",VLOOKUP(A35,'Р 1. "Общие сведения"'!$I$8:$L$180,4,FALSE))</f>
        <v/>
      </c>
    </row>
    <row r="36">
      <c r="A36" s="16" t="str">
        <f>IF('Р 1. "Общие сведения"'!I37="","",'Р 1. "Общие сведения"'!I37)</f>
        <v xml:space="preserve"> </v>
      </c>
      <c r="B36" s="17" t="str">
        <f>IF('Р 1. "Общие сведения"'!J37="","",'Р 1. "Общие сведения"'!J37)</f>
        <v/>
      </c>
      <c r="C36" s="17" t="str">
        <f>IF('Р 1. "Общие сведения"'!H37="","",'Р 1. "Общие сведения"'!H37)</f>
        <v/>
      </c>
      <c r="D36" s="17" t="str">
        <f>IF('Р 1. "Общие сведения"'!D37="","",'Р 1. "Общие сведения"'!D37)</f>
        <v/>
      </c>
      <c r="E36" s="17" t="str">
        <f>IF('Р 1. "Общие сведения"'!K37="","",'Р 1. "Общие сведения"'!K37)</f>
        <v/>
      </c>
      <c r="F36" s="18" t="str">
        <f>IF(OR(Таблица26[[#This Row],[Столбец1]]="",Таблица26[[#This Row],[Столбец5]]="",),"",VLOOKUP(A36,Таблица9[#All],2,FALSE))</f>
        <v/>
      </c>
      <c r="G36" s="21" t="str">
        <f>IF(OR(Таблица26[[#This Row],[Столбец1]]="",Таблица26[[#This Row],[Столбец5]]=""),"",VLOOKUP(A36,'Р 5. Финансирование'!$A$9:$D$89,3,FALSE))</f>
        <v/>
      </c>
      <c r="H36" s="21" t="str">
        <f>IF(OR(Таблица26[[#This Row],[Столбец1]]="",Таблица26[[#This Row],[Столбец5]]=""),"",VLOOKUP(A36,'Р 5. Финансирование'!$A$9:$D$89,4,FALSE))</f>
        <v/>
      </c>
      <c r="I36" s="22" t="str">
        <f>IF(OR(Таблица26[[#This Row],[Столбец5]]="отсутствует",Таблица26[[#This Row],[Столбец5]]=""),"",VLOOKUP(A36,'Р 4. Показатели_индикаторы'!$A$9:$J$103,3,FALSE))</f>
        <v/>
      </c>
      <c r="J36" s="22" t="str">
        <f>IF(OR(Таблица26[[#This Row],[Столбец5]]="отсутствует",Таблица26[[#This Row],[Столбец5]]=""),"",VLOOKUP(A36,'Р 4. Показатели_индикаторы'!$A$9:$J$103,4,FALSE))</f>
        <v/>
      </c>
      <c r="K36" s="22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Показатели_индикаторы'!$A$9:$J$103,5,FALSE))</f>
        <v/>
      </c>
      <c r="L36" s="22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Показатели_индикаторы'!$A$9:$J$103,6,FALSE))</f>
        <v/>
      </c>
      <c r="M36" s="22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Показатели_индикаторы'!$A$9:$J$103,7,FALSE))</f>
        <v/>
      </c>
      <c r="N36" s="22" t="str">
        <f>IF(OR(Таблица26[[#This Row],[Столбец1]]="",Таблица26[[#This Row],[Столбец5]]="",Таблица26[[#This Row],[Столбец5]]="отсутствует"),"",VLOOKUP(A36,'Р 4. Показатели_индикаторы'!$A$9:$J$103,8,FALSE))</f>
        <v/>
      </c>
      <c r="O36" s="24" t="str">
        <f>IF(VLOOKUP(A36,'Р 1. "Общие сведения"'!$I$8:$L$180,4,FALSE)="","",VLOOKUP(A36,'Р 1. "Общие сведения"'!$I$8:$L$180,4,FALSE))</f>
        <v/>
      </c>
    </row>
    <row r="37">
      <c r="A37" s="16" t="str">
        <f>IF('Р 1. "Общие сведения"'!I38="","",'Р 1. "Общие сведения"'!I38)</f>
        <v xml:space="preserve"> </v>
      </c>
      <c r="B37" s="17" t="str">
        <f>IF('Р 1. "Общие сведения"'!J38="","",'Р 1. "Общие сведения"'!J38)</f>
        <v/>
      </c>
      <c r="C37" s="17" t="str">
        <f>IF('Р 1. "Общие сведения"'!H38="","",'Р 1. "Общие сведения"'!H38)</f>
        <v/>
      </c>
      <c r="D37" s="17" t="str">
        <f>IF('Р 1. "Общие сведения"'!D38="","",'Р 1. "Общие сведения"'!D38)</f>
        <v/>
      </c>
      <c r="E37" s="17" t="str">
        <f>IF('Р 1. "Общие сведения"'!K38="","",'Р 1. "Общие сведения"'!K38)</f>
        <v/>
      </c>
      <c r="F37" s="18" t="str">
        <f>IF(OR(Таблица26[[#This Row],[Столбец1]]="",Таблица26[[#This Row],[Столбец5]]="",),"",VLOOKUP(A37,Таблица9[#All],2,FALSE))</f>
        <v/>
      </c>
      <c r="G37" s="21" t="str">
        <f>IF(OR(Таблица26[[#This Row],[Столбец1]]="",Таблица26[[#This Row],[Столбец5]]=""),"",VLOOKUP(A37,'Р 5. Финансирование'!$A$9:$D$89,3,FALSE))</f>
        <v/>
      </c>
      <c r="H37" s="21" t="str">
        <f>IF(OR(Таблица26[[#This Row],[Столбец1]]="",Таблица26[[#This Row],[Столбец5]]=""),"",VLOOKUP(A37,'Р 5. Финансирование'!$A$9:$D$89,4,FALSE))</f>
        <v/>
      </c>
      <c r="I37" s="22" t="str">
        <f>IF(OR(Таблица26[[#This Row],[Столбец5]]="отсутствует",Таблица26[[#This Row],[Столбец5]]=""),"",VLOOKUP(A37,'Р 4. Показатели_индикаторы'!$A$9:$J$103,3,FALSE))</f>
        <v/>
      </c>
      <c r="J37" s="22" t="str">
        <f>IF(OR(Таблица26[[#This Row],[Столбец5]]="отсутствует",Таблица26[[#This Row],[Столбец5]]=""),"",VLOOKUP(A37,'Р 4. Показатели_индикаторы'!$A$9:$J$103,4,FALSE))</f>
        <v/>
      </c>
      <c r="K37" s="22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Показатели_индикаторы'!$A$9:$J$103,5,FALSE))</f>
        <v/>
      </c>
      <c r="L37" s="22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Показатели_индикаторы'!$A$9:$J$103,6,FALSE))</f>
        <v/>
      </c>
      <c r="M37" s="22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Показатели_индикаторы'!$A$9:$J$103,7,FALSE))</f>
        <v/>
      </c>
      <c r="N37" s="22" t="str">
        <f>IF(OR(Таблица26[[#This Row],[Столбец1]]="",Таблица26[[#This Row],[Столбец5]]="",Таблица26[[#This Row],[Столбец5]]="отсутствует"),"",VLOOKUP(A37,'Р 4. Показатели_индикаторы'!$A$9:$J$103,8,FALSE))</f>
        <v/>
      </c>
      <c r="O37" s="24" t="str">
        <f>IF(VLOOKUP(A37,'Р 1. "Общие сведения"'!$I$8:$L$180,4,FALSE)="","",VLOOKUP(A37,'Р 1. "Общие сведения"'!$I$8:$L$180,4,FALSE))</f>
        <v/>
      </c>
    </row>
    <row r="38">
      <c r="A38" s="16" t="str">
        <f>IF('Р 1. "Общие сведения"'!I39="","",'Р 1. "Общие сведения"'!I39)</f>
        <v xml:space="preserve"> </v>
      </c>
      <c r="B38" s="17" t="str">
        <f>IF('Р 1. "Общие сведения"'!J39="","",'Р 1. "Общие сведения"'!J39)</f>
        <v/>
      </c>
      <c r="C38" s="17" t="str">
        <f>IF('Р 1. "Общие сведения"'!H39="","",'Р 1. "Общие сведения"'!H39)</f>
        <v/>
      </c>
      <c r="D38" s="17" t="str">
        <f>IF('Р 1. "Общие сведения"'!D39="","",'Р 1. "Общие сведения"'!D39)</f>
        <v/>
      </c>
      <c r="E38" s="17" t="str">
        <f>IF('Р 1. "Общие сведения"'!K39="","",'Р 1. "Общие сведения"'!K39)</f>
        <v/>
      </c>
      <c r="F38" s="18" t="str">
        <f>IF(OR(Таблица26[[#This Row],[Столбец1]]="",Таблица26[[#This Row],[Столбец5]]="",),"",VLOOKUP(A38,Таблица9[#All],2,FALSE))</f>
        <v/>
      </c>
      <c r="G38" s="21" t="str">
        <f>IF(OR(Таблица26[[#This Row],[Столбец1]]="",Таблица26[[#This Row],[Столбец5]]=""),"",VLOOKUP(A38,'Р 5. Финансирование'!$A$9:$D$89,3,FALSE))</f>
        <v/>
      </c>
      <c r="H38" s="21" t="str">
        <f>IF(OR(Таблица26[[#This Row],[Столбец1]]="",Таблица26[[#This Row],[Столбец5]]=""),"",VLOOKUP(A38,'Р 5. Финансирование'!$A$9:$D$89,4,FALSE))</f>
        <v/>
      </c>
      <c r="I38" s="22" t="str">
        <f>IF(OR(Таблица26[[#This Row],[Столбец5]]="отсутствует",Таблица26[[#This Row],[Столбец5]]=""),"",VLOOKUP(A38,'Р 4. Показатели_индикаторы'!$A$9:$J$103,3,FALSE))</f>
        <v/>
      </c>
      <c r="J38" s="22" t="str">
        <f>IF(OR(Таблица26[[#This Row],[Столбец5]]="отсутствует",Таблица26[[#This Row],[Столбец5]]=""),"",VLOOKUP(A38,'Р 4. Показатели_индикаторы'!$A$9:$J$103,4,FALSE))</f>
        <v/>
      </c>
      <c r="K38" s="22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Показатели_индикаторы'!$A$9:$J$103,5,FALSE))</f>
        <v/>
      </c>
      <c r="L38" s="22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Показатели_индикаторы'!$A$9:$J$103,6,FALSE))</f>
        <v/>
      </c>
      <c r="M38" s="22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Показатели_индикаторы'!$A$9:$J$103,7,FALSE))</f>
        <v/>
      </c>
      <c r="N38" s="22" t="str">
        <f>IF(OR(Таблица26[[#This Row],[Столбец1]]="",Таблица26[[#This Row],[Столбец5]]="",Таблица26[[#This Row],[Столбец5]]="отсутствует"),"",VLOOKUP(A38,'Р 4. Показатели_индикаторы'!$A$9:$J$103,8,FALSE))</f>
        <v/>
      </c>
      <c r="O38" s="24" t="str">
        <f>IF(VLOOKUP(A38,'Р 1. "Общие сведения"'!$I$8:$L$180,4,FALSE)="","",VLOOKUP(A38,'Р 1. "Общие сведения"'!$I$8:$L$180,4,FALSE))</f>
        <v/>
      </c>
    </row>
    <row r="39">
      <c r="A39" s="16" t="str">
        <f>IF('Р 1. "Общие сведения"'!I40="","",'Р 1. "Общие сведения"'!I40)</f>
        <v xml:space="preserve"> </v>
      </c>
      <c r="B39" s="17" t="str">
        <f>IF('Р 1. "Общие сведения"'!J40="","",'Р 1. "Общие сведения"'!J40)</f>
        <v/>
      </c>
      <c r="C39" s="17" t="str">
        <f>IF('Р 1. "Общие сведения"'!H40="","",'Р 1. "Общие сведения"'!H40)</f>
        <v/>
      </c>
      <c r="D39" s="17" t="str">
        <f>IF('Р 1. "Общие сведения"'!D40="","",'Р 1. "Общие сведения"'!D40)</f>
        <v/>
      </c>
      <c r="E39" s="17" t="str">
        <f>IF('Р 1. "Общие сведения"'!K40="","",'Р 1. "Общие сведения"'!K40)</f>
        <v/>
      </c>
      <c r="F39" s="18" t="str">
        <f>IF(OR(Таблица26[[#This Row],[Столбец1]]="",Таблица26[[#This Row],[Столбец5]]="",),"",VLOOKUP(A39,Таблица9[#All],2,FALSE))</f>
        <v/>
      </c>
      <c r="G39" s="21" t="str">
        <f>IF(OR(Таблица26[[#This Row],[Столбец1]]="",Таблица26[[#This Row],[Столбец5]]=""),"",VLOOKUP(A39,'Р 5. Финансирование'!$A$9:$D$89,3,FALSE))</f>
        <v/>
      </c>
      <c r="H39" s="21" t="str">
        <f>IF(OR(Таблица26[[#This Row],[Столбец1]]="",Таблица26[[#This Row],[Столбец5]]=""),"",VLOOKUP(A39,'Р 5. Финансирование'!$A$9:$D$89,4,FALSE))</f>
        <v/>
      </c>
      <c r="I39" s="22" t="str">
        <f>IF(OR(Таблица26[[#This Row],[Столбец5]]="отсутствует",Таблица26[[#This Row],[Столбец5]]=""),"",VLOOKUP(A39,'Р 4. Показатели_индикаторы'!$A$9:$J$103,3,FALSE))</f>
        <v/>
      </c>
      <c r="J39" s="22" t="str">
        <f>IF(OR(Таблица26[[#This Row],[Столбец5]]="отсутствует",Таблица26[[#This Row],[Столбец5]]=""),"",VLOOKUP(A39,'Р 4. Показатели_индикаторы'!$A$9:$J$103,4,FALSE))</f>
        <v/>
      </c>
      <c r="K39" s="22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Показатели_индикаторы'!$A$9:$J$103,5,FALSE))</f>
        <v/>
      </c>
      <c r="L39" s="22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Показатели_индикаторы'!$A$9:$J$103,6,FALSE))</f>
        <v/>
      </c>
      <c r="M39" s="22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Показатели_индикаторы'!$A$9:$J$103,7,FALSE))</f>
        <v/>
      </c>
      <c r="N39" s="22" t="str">
        <f>IF(OR(Таблица26[[#This Row],[Столбец1]]="",Таблица26[[#This Row],[Столбец5]]="",Таблица26[[#This Row],[Столбец5]]="отсутствует"),"",VLOOKUP(A39,'Р 4. Показатели_индикаторы'!$A$9:$J$103,8,FALSE))</f>
        <v/>
      </c>
      <c r="O39" s="24" t="str">
        <f>IF(VLOOKUP(A39,'Р 1. "Общие сведения"'!$I$8:$L$180,4,FALSE)="","",VLOOKUP(A39,'Р 1. "Общие сведения"'!$I$8:$L$180,4,FALSE))</f>
        <v/>
      </c>
    </row>
    <row r="40">
      <c r="A40" s="16" t="str">
        <f>IF('Р 1. "Общие сведения"'!I41="","",'Р 1. "Общие сведения"'!I41)</f>
        <v xml:space="preserve"> </v>
      </c>
      <c r="B40" s="17" t="str">
        <f>IF('Р 1. "Общие сведения"'!J41="","",'Р 1. "Общие сведения"'!J41)</f>
        <v/>
      </c>
      <c r="C40" s="17" t="str">
        <f>IF('Р 1. "Общие сведения"'!H41="","",'Р 1. "Общие сведения"'!H41)</f>
        <v/>
      </c>
      <c r="D40" s="17" t="str">
        <f>IF('Р 1. "Общие сведения"'!D41="","",'Р 1. "Общие сведения"'!D41)</f>
        <v/>
      </c>
      <c r="E40" s="17" t="str">
        <f>IF('Р 1. "Общие сведения"'!K41="","",'Р 1. "Общие сведения"'!K41)</f>
        <v/>
      </c>
      <c r="F40" s="18" t="str">
        <f>IF(OR(Таблица26[[#This Row],[Столбец1]]="",Таблица26[[#This Row],[Столбец5]]="",),"",VLOOKUP(A40,Таблица9[#All],2,FALSE))</f>
        <v/>
      </c>
      <c r="G40" s="21" t="str">
        <f>IF(OR(Таблица26[[#This Row],[Столбец1]]="",Таблица26[[#This Row],[Столбец5]]=""),"",VLOOKUP(A40,'Р 5. Финансирование'!$A$9:$D$89,3,FALSE))</f>
        <v/>
      </c>
      <c r="H40" s="21" t="str">
        <f>IF(OR(Таблица26[[#This Row],[Столбец1]]="",Таблица26[[#This Row],[Столбец5]]=""),"",VLOOKUP(A40,'Р 5. Финансирование'!$A$9:$D$89,4,FALSE))</f>
        <v/>
      </c>
      <c r="I40" s="22" t="str">
        <f>IF(OR(Таблица26[[#This Row],[Столбец5]]="отсутствует",Таблица26[[#This Row],[Столбец5]]=""),"",VLOOKUP(A40,'Р 4. Показатели_индикаторы'!$A$9:$J$103,3,FALSE))</f>
        <v/>
      </c>
      <c r="J40" s="22" t="str">
        <f>IF(OR(Таблица26[[#This Row],[Столбец5]]="отсутствует",Таблица26[[#This Row],[Столбец5]]=""),"",VLOOKUP(A40,'Р 4. Показатели_индикаторы'!$A$9:$J$103,4,FALSE))</f>
        <v/>
      </c>
      <c r="K40" s="22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Показатели_индикаторы'!$A$9:$J$103,5,FALSE))</f>
        <v/>
      </c>
      <c r="L40" s="22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Показатели_индикаторы'!$A$9:$J$103,6,FALSE))</f>
        <v/>
      </c>
      <c r="M40" s="22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Показатели_индикаторы'!$A$9:$J$103,7,FALSE))</f>
        <v/>
      </c>
      <c r="N40" s="22" t="str">
        <f>IF(OR(Таблица26[[#This Row],[Столбец1]]="",Таблица26[[#This Row],[Столбец5]]="",Таблица26[[#This Row],[Столбец5]]="отсутствует"),"",VLOOKUP(A40,'Р 4. Показатели_индикаторы'!$A$9:$J$103,8,FALSE))</f>
        <v/>
      </c>
      <c r="O40" s="24" t="str">
        <f>IF(VLOOKUP(A40,'Р 1. "Общие сведения"'!$I$8:$L$180,4,FALSE)="","",VLOOKUP(A40,'Р 1. "Общие сведения"'!$I$8:$L$180,4,FALSE))</f>
        <v/>
      </c>
    </row>
    <row r="41">
      <c r="A41" s="16" t="str">
        <f>IF('Р 1. "Общие сведения"'!I42="","",'Р 1. "Общие сведения"'!I42)</f>
        <v xml:space="preserve"> </v>
      </c>
      <c r="B41" s="17" t="str">
        <f>IF('Р 1. "Общие сведения"'!J42="","",'Р 1. "Общие сведения"'!J42)</f>
        <v/>
      </c>
      <c r="C41" s="17" t="str">
        <f>IF('Р 1. "Общие сведения"'!H42="","",'Р 1. "Общие сведения"'!H42)</f>
        <v/>
      </c>
      <c r="D41" s="17" t="str">
        <f>IF('Р 1. "Общие сведения"'!D42="","",'Р 1. "Общие сведения"'!D42)</f>
        <v/>
      </c>
      <c r="E41" s="17" t="str">
        <f>IF('Р 1. "Общие сведения"'!K42="","",'Р 1. "Общие сведения"'!K42)</f>
        <v/>
      </c>
      <c r="F41" s="18" t="str">
        <f>IF(OR(Таблица26[[#This Row],[Столбец1]]="",Таблица26[[#This Row],[Столбец5]]="",),"",VLOOKUP(A41,Таблица9[#All],2,FALSE))</f>
        <v/>
      </c>
      <c r="G41" s="21" t="str">
        <f>IF(OR(Таблица26[[#This Row],[Столбец1]]="",Таблица26[[#This Row],[Столбец5]]=""),"",VLOOKUP(A41,'Р 5. Финансирование'!$A$9:$D$89,3,FALSE))</f>
        <v/>
      </c>
      <c r="H41" s="21" t="str">
        <f>IF(OR(Таблица26[[#This Row],[Столбец1]]="",Таблица26[[#This Row],[Столбец5]]=""),"",VLOOKUP(A41,'Р 5. Финансирование'!$A$9:$D$89,4,FALSE))</f>
        <v/>
      </c>
      <c r="I41" s="22" t="str">
        <f>IF(OR(Таблица26[[#This Row],[Столбец5]]="отсутствует",Таблица26[[#This Row],[Столбец5]]=""),"",VLOOKUP(A41,'Р 4. Показатели_индикаторы'!$A$9:$J$103,3,FALSE))</f>
        <v/>
      </c>
      <c r="J41" s="22" t="str">
        <f>IF(OR(Таблица26[[#This Row],[Столбец5]]="отсутствует",Таблица26[[#This Row],[Столбец5]]=""),"",VLOOKUP(A41,'Р 4. Показатели_индикаторы'!$A$9:$J$103,4,FALSE))</f>
        <v/>
      </c>
      <c r="K41" s="22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Показатели_индикаторы'!$A$9:$J$103,5,FALSE))</f>
        <v/>
      </c>
      <c r="L41" s="22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Показатели_индикаторы'!$A$9:$J$103,6,FALSE))</f>
        <v/>
      </c>
      <c r="M41" s="22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Показатели_индикаторы'!$A$9:$J$103,7,FALSE))</f>
        <v/>
      </c>
      <c r="N41" s="22" t="str">
        <f>IF(OR(Таблица26[[#This Row],[Столбец1]]="",Таблица26[[#This Row],[Столбец5]]="",Таблица26[[#This Row],[Столбец5]]="отсутствует"),"",VLOOKUP(A41,'Р 4. Показатели_индикаторы'!$A$9:$J$103,8,FALSE))</f>
        <v/>
      </c>
      <c r="O41" s="24" t="str">
        <f>IF(VLOOKUP(A41,'Р 1. "Общие сведения"'!$I$8:$L$180,4,FALSE)="","",VLOOKUP(A41,'Р 1. "Общие сведения"'!$I$8:$L$180,4,FALSE))</f>
        <v/>
      </c>
    </row>
    <row r="42">
      <c r="A42" s="16" t="str">
        <f>IF('Р 1. "Общие сведения"'!I43="","",'Р 1. "Общие сведения"'!I43)</f>
        <v xml:space="preserve"> </v>
      </c>
      <c r="B42" s="17" t="str">
        <f>IF('Р 1. "Общие сведения"'!J43="","",'Р 1. "Общие сведения"'!J43)</f>
        <v/>
      </c>
      <c r="C42" s="17" t="str">
        <f>IF('Р 1. "Общие сведения"'!H43="","",'Р 1. "Общие сведения"'!H43)</f>
        <v/>
      </c>
      <c r="D42" s="17" t="str">
        <f>IF('Р 1. "Общие сведения"'!D43="","",'Р 1. "Общие сведения"'!D43)</f>
        <v/>
      </c>
      <c r="E42" s="17" t="str">
        <f>IF('Р 1. "Общие сведения"'!K43="","",'Р 1. "Общие сведения"'!K43)</f>
        <v/>
      </c>
      <c r="F42" s="18" t="str">
        <f>IF(OR(Таблица26[[#This Row],[Столбец1]]="",Таблица26[[#This Row],[Столбец5]]="",),"",VLOOKUP(A42,Таблица9[#All],2,FALSE))</f>
        <v/>
      </c>
      <c r="G42" s="21" t="str">
        <f>IF(OR(Таблица26[[#This Row],[Столбец1]]="",Таблица26[[#This Row],[Столбец5]]=""),"",VLOOKUP(A42,'Р 5. Финансирование'!$A$9:$D$89,3,FALSE))</f>
        <v/>
      </c>
      <c r="H42" s="21" t="str">
        <f>IF(OR(Таблица26[[#This Row],[Столбец1]]="",Таблица26[[#This Row],[Столбец5]]=""),"",VLOOKUP(A42,'Р 5. Финансирование'!$A$9:$D$89,4,FALSE))</f>
        <v/>
      </c>
      <c r="I42" s="22" t="str">
        <f>IF(OR(Таблица26[[#This Row],[Столбец5]]="отсутствует",Таблица26[[#This Row],[Столбец5]]=""),"",VLOOKUP(A42,'Р 4. Показатели_индикаторы'!$A$9:$J$103,3,FALSE))</f>
        <v/>
      </c>
      <c r="J42" s="22" t="str">
        <f>IF(OR(Таблица26[[#This Row],[Столбец5]]="отсутствует",Таблица26[[#This Row],[Столбец5]]=""),"",VLOOKUP(A42,'Р 4. Показатели_индикаторы'!$A$9:$J$103,4,FALSE))</f>
        <v/>
      </c>
      <c r="K42" s="22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Показатели_индикаторы'!$A$9:$J$103,5,FALSE))</f>
        <v/>
      </c>
      <c r="L42" s="22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Показатели_индикаторы'!$A$9:$J$103,6,FALSE))</f>
        <v/>
      </c>
      <c r="M42" s="22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Показатели_индикаторы'!$A$9:$J$103,7,FALSE))</f>
        <v/>
      </c>
      <c r="N42" s="22" t="str">
        <f>IF(OR(Таблица26[[#This Row],[Столбец1]]="",Таблица26[[#This Row],[Столбец5]]="",Таблица26[[#This Row],[Столбец5]]="отсутствует"),"",VLOOKUP(A42,'Р 4. Показатели_индикаторы'!$A$9:$J$103,8,FALSE))</f>
        <v/>
      </c>
      <c r="O42" s="24" t="str">
        <f>IF(VLOOKUP(A42,'Р 1. "Общие сведения"'!$I$8:$L$180,4,FALSE)="","",VLOOKUP(A42,'Р 1. "Общие сведения"'!$I$8:$L$180,4,FALSE))</f>
        <v/>
      </c>
    </row>
    <row r="43">
      <c r="A43" s="16" t="str">
        <f>IF('Р 1. "Общие сведения"'!I44="","",'Р 1. "Общие сведения"'!I44)</f>
        <v xml:space="preserve"> </v>
      </c>
      <c r="B43" s="17" t="str">
        <f>IF('Р 1. "Общие сведения"'!J44="","",'Р 1. "Общие сведения"'!J44)</f>
        <v/>
      </c>
      <c r="C43" s="17" t="str">
        <f>IF('Р 1. "Общие сведения"'!H44="","",'Р 1. "Общие сведения"'!H44)</f>
        <v/>
      </c>
      <c r="D43" s="17" t="str">
        <f>IF('Р 1. "Общие сведения"'!D44="","",'Р 1. "Общие сведения"'!D44)</f>
        <v/>
      </c>
      <c r="E43" s="17" t="str">
        <f>IF('Р 1. "Общие сведения"'!K44="","",'Р 1. "Общие сведения"'!K44)</f>
        <v/>
      </c>
      <c r="F43" s="18" t="str">
        <f>IF(OR(Таблица26[[#This Row],[Столбец1]]="",Таблица26[[#This Row],[Столбец5]]="",),"",VLOOKUP(A43,Таблица9[#All],2,FALSE))</f>
        <v/>
      </c>
      <c r="G43" s="21" t="str">
        <f>IF(OR(Таблица26[[#This Row],[Столбец1]]="",Таблица26[[#This Row],[Столбец5]]=""),"",VLOOKUP(A43,'Р 5. Финансирование'!$A$9:$D$89,3,FALSE))</f>
        <v/>
      </c>
      <c r="H43" s="21" t="str">
        <f>IF(OR(Таблица26[[#This Row],[Столбец1]]="",Таблица26[[#This Row],[Столбец5]]=""),"",VLOOKUP(A43,'Р 5. Финансирование'!$A$9:$D$89,4,FALSE))</f>
        <v/>
      </c>
      <c r="I43" s="22" t="str">
        <f>IF(OR(Таблица26[[#This Row],[Столбец5]]="отсутствует",Таблица26[[#This Row],[Столбец5]]=""),"",VLOOKUP(A43,'Р 4. Показатели_индикаторы'!$A$9:$J$103,3,FALSE))</f>
        <v/>
      </c>
      <c r="J43" s="22" t="str">
        <f>IF(OR(Таблица26[[#This Row],[Столбец5]]="отсутствует",Таблица26[[#This Row],[Столбец5]]=""),"",VLOOKUP(A43,'Р 4. Показатели_индикаторы'!$A$9:$J$103,4,FALSE))</f>
        <v/>
      </c>
      <c r="K43" s="22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Показатели_индикаторы'!$A$9:$J$103,5,FALSE))</f>
        <v/>
      </c>
      <c r="L43" s="22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Показатели_индикаторы'!$A$9:$J$103,6,FALSE))</f>
        <v/>
      </c>
      <c r="M43" s="22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Показатели_индикаторы'!$A$9:$J$103,7,FALSE))</f>
        <v/>
      </c>
      <c r="N43" s="22" t="str">
        <f>IF(OR(Таблица26[[#This Row],[Столбец1]]="",Таблица26[[#This Row],[Столбец5]]="",Таблица26[[#This Row],[Столбец5]]="отсутствует"),"",VLOOKUP(A43,'Р 4. Показатели_индикаторы'!$A$9:$J$103,8,FALSE))</f>
        <v/>
      </c>
      <c r="O43" s="24" t="str">
        <f>IF(VLOOKUP(A43,'Р 1. "Общие сведения"'!$I$8:$L$180,4,FALSE)="","",VLOOKUP(A43,'Р 1. "Общие сведения"'!$I$8:$L$180,4,FALSE))</f>
        <v/>
      </c>
    </row>
    <row r="44">
      <c r="A44" s="16" t="str">
        <f>IF('Р 1. "Общие сведения"'!I45="","",'Р 1. "Общие сведения"'!I45)</f>
        <v xml:space="preserve"> </v>
      </c>
      <c r="B44" s="17" t="str">
        <f>IF('Р 1. "Общие сведения"'!J45="","",'Р 1. "Общие сведения"'!J45)</f>
        <v/>
      </c>
      <c r="C44" s="17" t="str">
        <f>IF('Р 1. "Общие сведения"'!H45="","",'Р 1. "Общие сведения"'!H45)</f>
        <v/>
      </c>
      <c r="D44" s="17" t="str">
        <f>IF('Р 1. "Общие сведения"'!D45="","",'Р 1. "Общие сведения"'!D45)</f>
        <v/>
      </c>
      <c r="E44" s="17" t="str">
        <f>IF('Р 1. "Общие сведения"'!K45="","",'Р 1. "Общие сведения"'!K45)</f>
        <v/>
      </c>
      <c r="F44" s="18" t="str">
        <f>IF(OR(Таблица26[[#This Row],[Столбец1]]="",Таблица26[[#This Row],[Столбец5]]="",),"",VLOOKUP(A44,Таблица9[#All],2,FALSE))</f>
        <v/>
      </c>
      <c r="G44" s="21" t="str">
        <f>IF(OR(Таблица26[[#This Row],[Столбец1]]="",Таблица26[[#This Row],[Столбец5]]=""),"",VLOOKUP(A44,'Р 5. Финансирование'!$A$9:$D$89,3,FALSE))</f>
        <v/>
      </c>
      <c r="H44" s="21" t="str">
        <f>IF(OR(Таблица26[[#This Row],[Столбец1]]="",Таблица26[[#This Row],[Столбец5]]=""),"",VLOOKUP(A44,'Р 5. Финансирование'!$A$9:$D$89,4,FALSE))</f>
        <v/>
      </c>
      <c r="I44" s="22" t="str">
        <f>IF(OR(Таблица26[[#This Row],[Столбец5]]="отсутствует",Таблица26[[#This Row],[Столбец5]]=""),"",VLOOKUP(A44,'Р 4. Показатели_индикаторы'!$A$9:$J$103,3,FALSE))</f>
        <v/>
      </c>
      <c r="J44" s="22" t="str">
        <f>IF(OR(Таблица26[[#This Row],[Столбец5]]="отсутствует",Таблица26[[#This Row],[Столбец5]]=""),"",VLOOKUP(A44,'Р 4. Показатели_индикаторы'!$A$9:$J$103,4,FALSE))</f>
        <v/>
      </c>
      <c r="K44" s="22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Показатели_индикаторы'!$A$9:$J$103,5,FALSE))</f>
        <v/>
      </c>
      <c r="L44" s="22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Показатели_индикаторы'!$A$9:$J$103,6,FALSE))</f>
        <v/>
      </c>
      <c r="M44" s="22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Показатели_индикаторы'!$A$9:$J$103,7,FALSE))</f>
        <v/>
      </c>
      <c r="N44" s="22" t="str">
        <f>IF(OR(Таблица26[[#This Row],[Столбец1]]="",Таблица26[[#This Row],[Столбец5]]="",Таблица26[[#This Row],[Столбец5]]="отсутствует"),"",VLOOKUP(A44,'Р 4. Показатели_индикаторы'!$A$9:$J$103,8,FALSE))</f>
        <v/>
      </c>
      <c r="O44" s="24" t="str">
        <f>IF(VLOOKUP(A44,'Р 1. "Общие сведения"'!$I$8:$L$180,4,FALSE)="","",VLOOKUP(A44,'Р 1. "Общие сведения"'!$I$8:$L$180,4,FALSE))</f>
        <v/>
      </c>
    </row>
    <row r="45">
      <c r="A45" s="16" t="str">
        <f>IF('Р 1. "Общие сведения"'!I46="","",'Р 1. "Общие сведения"'!I46)</f>
        <v xml:space="preserve"> </v>
      </c>
      <c r="B45" s="17" t="str">
        <f>IF('Р 1. "Общие сведения"'!J46="","",'Р 1. "Общие сведения"'!J46)</f>
        <v/>
      </c>
      <c r="C45" s="17" t="str">
        <f>IF('Р 1. "Общие сведения"'!H46="","",'Р 1. "Общие сведения"'!H46)</f>
        <v/>
      </c>
      <c r="D45" s="17" t="str">
        <f>IF('Р 1. "Общие сведения"'!D46="","",'Р 1. "Общие сведения"'!D46)</f>
        <v/>
      </c>
      <c r="E45" s="17" t="str">
        <f>IF('Р 1. "Общие сведения"'!K46="","",'Р 1. "Общие сведения"'!K46)</f>
        <v/>
      </c>
      <c r="F45" s="18" t="str">
        <f>IF(OR(Таблица26[[#This Row],[Столбец1]]="",Таблица26[[#This Row],[Столбец5]]="",),"",VLOOKUP(A45,Таблица9[#All],2,FALSE))</f>
        <v/>
      </c>
      <c r="G45" s="21" t="str">
        <f>IF(OR(Таблица26[[#This Row],[Столбец1]]="",Таблица26[[#This Row],[Столбец5]]=""),"",VLOOKUP(A45,'Р 5. Финансирование'!$A$9:$D$89,3,FALSE))</f>
        <v/>
      </c>
      <c r="H45" s="21" t="str">
        <f>IF(OR(Таблица26[[#This Row],[Столбец1]]="",Таблица26[[#This Row],[Столбец5]]=""),"",VLOOKUP(A45,'Р 5. Финансирование'!$A$9:$D$89,4,FALSE))</f>
        <v/>
      </c>
      <c r="I45" s="22" t="str">
        <f>IF(OR(Таблица26[[#This Row],[Столбец5]]="отсутствует",Таблица26[[#This Row],[Столбец5]]=""),"",VLOOKUP(A45,'Р 4. Показатели_индикаторы'!$A$9:$J$103,3,FALSE))</f>
        <v/>
      </c>
      <c r="J45" s="22" t="str">
        <f>IF(OR(Таблица26[[#This Row],[Столбец5]]="отсутствует",Таблица26[[#This Row],[Столбец5]]=""),"",VLOOKUP(A45,'Р 4. Показатели_индикаторы'!$A$9:$J$103,4,FALSE))</f>
        <v/>
      </c>
      <c r="K45" s="22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Показатели_индикаторы'!$A$9:$J$103,5,FALSE))</f>
        <v/>
      </c>
      <c r="L45" s="22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Показатели_индикаторы'!$A$9:$J$103,6,FALSE))</f>
        <v/>
      </c>
      <c r="M45" s="22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Показатели_индикаторы'!$A$9:$J$103,7,FALSE))</f>
        <v/>
      </c>
      <c r="N45" s="22" t="str">
        <f>IF(OR(Таблица26[[#This Row],[Столбец1]]="",Таблица26[[#This Row],[Столбец5]]="",Таблица26[[#This Row],[Столбец5]]="отсутствует"),"",VLOOKUP(A45,'Р 4. Показатели_индикаторы'!$A$9:$J$103,8,FALSE))</f>
        <v/>
      </c>
      <c r="O45" s="24" t="str">
        <f>IF(VLOOKUP(A45,'Р 1. "Общие сведения"'!$I$8:$L$180,4,FALSE)="","",VLOOKUP(A45,'Р 1. "Общие сведения"'!$I$8:$L$180,4,FALSE))</f>
        <v/>
      </c>
    </row>
    <row r="46">
      <c r="A46" s="16" t="str">
        <f>IF('Р 1. "Общие сведения"'!I47="","",'Р 1. "Общие сведения"'!I47)</f>
        <v xml:space="preserve"> </v>
      </c>
      <c r="B46" s="17" t="str">
        <f>IF('Р 1. "Общие сведения"'!J47="","",'Р 1. "Общие сведения"'!J47)</f>
        <v/>
      </c>
      <c r="C46" s="17" t="str">
        <f>IF('Р 1. "Общие сведения"'!H47="","",'Р 1. "Общие сведения"'!H47)</f>
        <v/>
      </c>
      <c r="D46" s="17" t="str">
        <f>IF('Р 1. "Общие сведения"'!D47="","",'Р 1. "Общие сведения"'!D47)</f>
        <v/>
      </c>
      <c r="E46" s="17" t="str">
        <f>IF('Р 1. "Общие сведения"'!K47="","",'Р 1. "Общие сведения"'!K47)</f>
        <v/>
      </c>
      <c r="F46" s="18" t="str">
        <f>IF(OR(Таблица26[[#This Row],[Столбец1]]="",Таблица26[[#This Row],[Столбец5]]="",),"",VLOOKUP(A46,Таблица9[#All],2,FALSE))</f>
        <v/>
      </c>
      <c r="G46" s="21" t="str">
        <f>IF(OR(Таблица26[[#This Row],[Столбец1]]="",Таблица26[[#This Row],[Столбец5]]=""),"",VLOOKUP(A46,'Р 5. Финансирование'!$A$9:$D$89,3,FALSE))</f>
        <v/>
      </c>
      <c r="H46" s="21" t="str">
        <f>IF(OR(Таблица26[[#This Row],[Столбец1]]="",Таблица26[[#This Row],[Столбец5]]=""),"",VLOOKUP(A46,'Р 5. Финансирование'!$A$9:$D$89,4,FALSE))</f>
        <v/>
      </c>
      <c r="I46" s="22" t="str">
        <f>IF(OR(Таблица26[[#This Row],[Столбец5]]="отсутствует",Таблица26[[#This Row],[Столбец5]]=""),"",VLOOKUP(A46,'Р 4. Показатели_индикаторы'!$A$9:$J$103,3,FALSE))</f>
        <v/>
      </c>
      <c r="J46" s="22" t="str">
        <f>IF(OR(Таблица26[[#This Row],[Столбец5]]="отсутствует",Таблица26[[#This Row],[Столбец5]]=""),"",VLOOKUP(A46,'Р 4. Показатели_индикаторы'!$A$9:$J$103,4,FALSE))</f>
        <v/>
      </c>
      <c r="K46" s="22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Показатели_индикаторы'!$A$9:$J$103,5,FALSE))</f>
        <v/>
      </c>
      <c r="L46" s="22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Показатели_индикаторы'!$A$9:$J$103,6,FALSE))</f>
        <v/>
      </c>
      <c r="M46" s="22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Показатели_индикаторы'!$A$9:$J$103,7,FALSE))</f>
        <v/>
      </c>
      <c r="N46" s="22" t="str">
        <f>IF(OR(Таблица26[[#This Row],[Столбец1]]="",Таблица26[[#This Row],[Столбец5]]="",Таблица26[[#This Row],[Столбец5]]="отсутствует"),"",VLOOKUP(A46,'Р 4. Показатели_индикаторы'!$A$9:$J$103,8,FALSE))</f>
        <v/>
      </c>
      <c r="O46" s="24" t="str">
        <f>IF(VLOOKUP(A46,'Р 1. "Общие сведения"'!$I$8:$L$180,4,FALSE)="","",VLOOKUP(A46,'Р 1. "Общие сведения"'!$I$8:$L$180,4,FALSE))</f>
        <v/>
      </c>
    </row>
    <row r="47">
      <c r="A47" s="16" t="str">
        <f>IF('Р 1. "Общие сведения"'!I48="","",'Р 1. "Общие сведения"'!I48)</f>
        <v xml:space="preserve"> </v>
      </c>
      <c r="B47" s="17" t="str">
        <f>IF('Р 1. "Общие сведения"'!J48="","",'Р 1. "Общие сведения"'!J48)</f>
        <v/>
      </c>
      <c r="C47" s="17" t="str">
        <f>IF('Р 1. "Общие сведения"'!H48="","",'Р 1. "Общие сведения"'!H48)</f>
        <v/>
      </c>
      <c r="D47" s="17" t="str">
        <f>IF('Р 1. "Общие сведения"'!D48="","",'Р 1. "Общие сведения"'!D48)</f>
        <v/>
      </c>
      <c r="E47" s="17" t="str">
        <f>IF('Р 1. "Общие сведения"'!K48="","",'Р 1. "Общие сведения"'!K48)</f>
        <v/>
      </c>
      <c r="F47" s="18" t="str">
        <f>IF(OR(Таблица26[[#This Row],[Столбец1]]="",Таблица26[[#This Row],[Столбец5]]="",),"",VLOOKUP(A47,Таблица9[#All],2,FALSE))</f>
        <v/>
      </c>
      <c r="G47" s="21" t="str">
        <f>IF(OR(Таблица26[[#This Row],[Столбец1]]="",Таблица26[[#This Row],[Столбец5]]=""),"",VLOOKUP(A47,'Р 5. Финансирование'!$A$9:$D$89,3,FALSE))</f>
        <v/>
      </c>
      <c r="H47" s="21" t="str">
        <f>IF(OR(Таблица26[[#This Row],[Столбец1]]="",Таблица26[[#This Row],[Столбец5]]=""),"",VLOOKUP(A47,'Р 5. Финансирование'!$A$9:$D$89,4,FALSE))</f>
        <v/>
      </c>
      <c r="I47" s="22" t="str">
        <f>IF(OR(Таблица26[[#This Row],[Столбец5]]="отсутствует",Таблица26[[#This Row],[Столбец5]]=""),"",VLOOKUP(A47,'Р 4. Показатели_индикаторы'!$A$9:$J$103,3,FALSE))</f>
        <v/>
      </c>
      <c r="J47" s="22" t="str">
        <f>IF(OR(Таблица26[[#This Row],[Столбец5]]="отсутствует",Таблица26[[#This Row],[Столбец5]]=""),"",VLOOKUP(A47,'Р 4. Показатели_индикаторы'!$A$9:$J$103,4,FALSE))</f>
        <v/>
      </c>
      <c r="K47" s="22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Показатели_индикаторы'!$A$9:$J$103,5,FALSE))</f>
        <v/>
      </c>
      <c r="L47" s="22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Показатели_индикаторы'!$A$9:$J$103,6,FALSE))</f>
        <v/>
      </c>
      <c r="M47" s="22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Показатели_индикаторы'!$A$9:$J$103,7,FALSE))</f>
        <v/>
      </c>
      <c r="N47" s="22" t="str">
        <f>IF(OR(Таблица26[[#This Row],[Столбец1]]="",Таблица26[[#This Row],[Столбец5]]="",Таблица26[[#This Row],[Столбец5]]="отсутствует"),"",VLOOKUP(A47,'Р 4. Показатели_индикаторы'!$A$9:$J$103,8,FALSE))</f>
        <v/>
      </c>
      <c r="O47" s="24" t="str">
        <f>IF(VLOOKUP(A47,'Р 1. "Общие сведения"'!$I$8:$L$180,4,FALSE)="","",VLOOKUP(A47,'Р 1. "Общие сведения"'!$I$8:$L$180,4,FALSE))</f>
        <v/>
      </c>
    </row>
    <row r="48">
      <c r="A48" s="16" t="str">
        <f>IF('Р 1. "Общие сведения"'!I49="","",'Р 1. "Общие сведения"'!I49)</f>
        <v xml:space="preserve"> </v>
      </c>
      <c r="B48" s="17" t="str">
        <f>IF('Р 1. "Общие сведения"'!J49="","",'Р 1. "Общие сведения"'!J49)</f>
        <v/>
      </c>
      <c r="C48" s="17" t="str">
        <f>IF('Р 1. "Общие сведения"'!H49="","",'Р 1. "Общие сведения"'!H49)</f>
        <v/>
      </c>
      <c r="D48" s="17" t="str">
        <f>IF('Р 1. "Общие сведения"'!D49="","",'Р 1. "Общие сведения"'!D49)</f>
        <v/>
      </c>
      <c r="E48" s="17" t="str">
        <f>IF('Р 1. "Общие сведения"'!K49="","",'Р 1. "Общие сведения"'!K49)</f>
        <v/>
      </c>
      <c r="F48" s="18" t="str">
        <f>IF(OR(Таблица26[[#This Row],[Столбец1]]="",Таблица26[[#This Row],[Столбец5]]="",),"",VLOOKUP(A48,Таблица9[#All],2,FALSE))</f>
        <v/>
      </c>
      <c r="G48" s="21" t="str">
        <f>IF(OR(Таблица26[[#This Row],[Столбец1]]="",Таблица26[[#This Row],[Столбец5]]=""),"",VLOOKUP(A48,'Р 5. Финансирование'!$A$9:$D$89,3,FALSE))</f>
        <v/>
      </c>
      <c r="H48" s="21" t="str">
        <f>IF(OR(Таблица26[[#This Row],[Столбец1]]="",Таблица26[[#This Row],[Столбец5]]=""),"",VLOOKUP(A48,'Р 5. Финансирование'!$A$9:$D$89,4,FALSE))</f>
        <v/>
      </c>
      <c r="I48" s="22" t="str">
        <f>IF(OR(Таблица26[[#This Row],[Столбец5]]="отсутствует",Таблица26[[#This Row],[Столбец5]]=""),"",VLOOKUP(A48,'Р 4. Показатели_индикаторы'!$A$9:$J$103,3,FALSE))</f>
        <v/>
      </c>
      <c r="J48" s="22" t="str">
        <f>IF(OR(Таблица26[[#This Row],[Столбец5]]="отсутствует",Таблица26[[#This Row],[Столбец5]]=""),"",VLOOKUP(A48,'Р 4. Показатели_индикаторы'!$A$9:$J$103,4,FALSE))</f>
        <v/>
      </c>
      <c r="K48" s="22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Показатели_индикаторы'!$A$9:$J$103,5,FALSE))</f>
        <v/>
      </c>
      <c r="L48" s="22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Показатели_индикаторы'!$A$9:$J$103,6,FALSE))</f>
        <v/>
      </c>
      <c r="M48" s="22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Показатели_индикаторы'!$A$9:$J$103,7,FALSE))</f>
        <v/>
      </c>
      <c r="N48" s="22" t="str">
        <f>IF(OR(Таблица26[[#This Row],[Столбец1]]="",Таблица26[[#This Row],[Столбец5]]="",Таблица26[[#This Row],[Столбец5]]="отсутствует"),"",VLOOKUP(A48,'Р 4. Показатели_индикаторы'!$A$9:$J$103,8,FALSE))</f>
        <v/>
      </c>
      <c r="O48" s="24" t="str">
        <f>IF(VLOOKUP(A48,'Р 1. "Общие сведения"'!$I$8:$L$180,4,FALSE)="","",VLOOKUP(A48,'Р 1. "Общие сведения"'!$I$8:$L$180,4,FALSE))</f>
        <v/>
      </c>
    </row>
    <row r="49">
      <c r="A49" s="16" t="str">
        <f>IF('Р 1. "Общие сведения"'!I50="","",'Р 1. "Общие сведения"'!I50)</f>
        <v xml:space="preserve"> </v>
      </c>
      <c r="B49" s="17" t="str">
        <f>IF('Р 1. "Общие сведения"'!J50="","",'Р 1. "Общие сведения"'!J50)</f>
        <v/>
      </c>
      <c r="C49" s="17" t="str">
        <f>IF('Р 1. "Общие сведения"'!H50="","",'Р 1. "Общие сведения"'!H50)</f>
        <v/>
      </c>
      <c r="D49" s="17" t="str">
        <f>IF('Р 1. "Общие сведения"'!D50="","",'Р 1. "Общие сведения"'!D50)</f>
        <v/>
      </c>
      <c r="E49" s="17" t="str">
        <f>IF('Р 1. "Общие сведения"'!K50="","",'Р 1. "Общие сведения"'!K50)</f>
        <v/>
      </c>
      <c r="F49" s="18" t="str">
        <f>IF(OR(Таблица26[[#This Row],[Столбец1]]="",Таблица26[[#This Row],[Столбец5]]="",),"",VLOOKUP(A49,Таблица9[#All],2,FALSE))</f>
        <v/>
      </c>
      <c r="G49" s="21" t="str">
        <f>IF(OR(Таблица26[[#This Row],[Столбец1]]="",Таблица26[[#This Row],[Столбец5]]=""),"",VLOOKUP(A49,'Р 5. Финансирование'!$A$9:$D$89,3,FALSE))</f>
        <v/>
      </c>
      <c r="H49" s="21" t="str">
        <f>IF(OR(Таблица26[[#This Row],[Столбец1]]="",Таблица26[[#This Row],[Столбец5]]=""),"",VLOOKUP(A49,'Р 5. Финансирование'!$A$9:$D$89,4,FALSE))</f>
        <v/>
      </c>
      <c r="I49" s="22" t="str">
        <f>IF(OR(Таблица26[[#This Row],[Столбец5]]="отсутствует",Таблица26[[#This Row],[Столбец5]]=""),"",VLOOKUP(A49,'Р 4. Показатели_индикаторы'!$A$9:$J$103,3,FALSE))</f>
        <v/>
      </c>
      <c r="J49" s="22" t="str">
        <f>IF(OR(Таблица26[[#This Row],[Столбец5]]="отсутствует",Таблица26[[#This Row],[Столбец5]]=""),"",VLOOKUP(A49,'Р 4. Показатели_индикаторы'!$A$9:$J$103,4,FALSE))</f>
        <v/>
      </c>
      <c r="K49" s="22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Показатели_индикаторы'!$A$9:$J$103,5,FALSE))</f>
        <v/>
      </c>
      <c r="L49" s="22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Показатели_индикаторы'!$A$9:$J$103,6,FALSE))</f>
        <v/>
      </c>
      <c r="M49" s="22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Показатели_индикаторы'!$A$9:$J$103,7,FALSE))</f>
        <v/>
      </c>
      <c r="N49" s="22" t="str">
        <f>IF(OR(Таблица26[[#This Row],[Столбец1]]="",Таблица26[[#This Row],[Столбец5]]="",Таблица26[[#This Row],[Столбец5]]="отсутствует"),"",VLOOKUP(A49,'Р 4. Показатели_индикаторы'!$A$9:$J$103,8,FALSE))</f>
        <v/>
      </c>
      <c r="O49" s="24" t="str">
        <f>IF(VLOOKUP(A49,'Р 1. "Общие сведения"'!$I$8:$L$180,4,FALSE)="","",VLOOKUP(A49,'Р 1. "Общие сведения"'!$I$8:$L$180,4,FALSE))</f>
        <v/>
      </c>
    </row>
    <row r="50">
      <c r="A50" s="16" t="str">
        <f>IF('Р 1. "Общие сведения"'!I51="","",'Р 1. "Общие сведения"'!I51)</f>
        <v xml:space="preserve"> </v>
      </c>
      <c r="B50" s="17" t="str">
        <f>IF('Р 1. "Общие сведения"'!J51="","",'Р 1. "Общие сведения"'!J51)</f>
        <v/>
      </c>
      <c r="C50" s="17" t="str">
        <f>IF('Р 1. "Общие сведения"'!H51="","",'Р 1. "Общие сведения"'!H51)</f>
        <v/>
      </c>
      <c r="D50" s="17" t="str">
        <f>IF('Р 1. "Общие сведения"'!D51="","",'Р 1. "Общие сведения"'!D51)</f>
        <v/>
      </c>
      <c r="E50" s="17" t="str">
        <f>IF('Р 1. "Общие сведения"'!K51="","",'Р 1. "Общие сведения"'!K51)</f>
        <v/>
      </c>
      <c r="F50" s="18" t="str">
        <f>IF(OR(Таблица26[[#This Row],[Столбец1]]="",Таблица26[[#This Row],[Столбец5]]="",),"",VLOOKUP(A50,Таблица9[#All],2,FALSE))</f>
        <v/>
      </c>
      <c r="G50" s="21" t="str">
        <f>IF(OR(Таблица26[[#This Row],[Столбец1]]="",Таблица26[[#This Row],[Столбец5]]=""),"",VLOOKUP(A50,'Р 5. Финансирование'!$A$9:$D$89,3,FALSE))</f>
        <v/>
      </c>
      <c r="H50" s="21" t="str">
        <f>IF(OR(Таблица26[[#This Row],[Столбец1]]="",Таблица26[[#This Row],[Столбец5]]=""),"",VLOOKUP(A50,'Р 5. Финансирование'!$A$9:$D$89,4,FALSE))</f>
        <v/>
      </c>
      <c r="I50" s="22" t="str">
        <f>IF(OR(Таблица26[[#This Row],[Столбец5]]="отсутствует",Таблица26[[#This Row],[Столбец5]]=""),"",VLOOKUP(A50,'Р 4. Показатели_индикаторы'!$A$9:$J$103,3,FALSE))</f>
        <v/>
      </c>
      <c r="J50" s="22" t="str">
        <f>IF(OR(Таблица26[[#This Row],[Столбец5]]="отсутствует",Таблица26[[#This Row],[Столбец5]]=""),"",VLOOKUP(A50,'Р 4. Показатели_индикаторы'!$A$9:$J$103,4,FALSE))</f>
        <v/>
      </c>
      <c r="K50" s="22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Показатели_индикаторы'!$A$9:$J$103,5,FALSE))</f>
        <v/>
      </c>
      <c r="L50" s="22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Показатели_индикаторы'!$A$9:$J$103,6,FALSE))</f>
        <v/>
      </c>
      <c r="M50" s="22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Показатели_индикаторы'!$A$9:$J$103,7,FALSE))</f>
        <v/>
      </c>
      <c r="N50" s="22" t="str">
        <f>IF(OR(Таблица26[[#This Row],[Столбец1]]="",Таблица26[[#This Row],[Столбец5]]="",Таблица26[[#This Row],[Столбец5]]="отсутствует"),"",VLOOKUP(A50,'Р 4. Показатели_индикаторы'!$A$9:$J$103,8,FALSE))</f>
        <v/>
      </c>
      <c r="O50" s="24" t="str">
        <f>IF(VLOOKUP(A50,'Р 1. "Общие сведения"'!$I$8:$L$180,4,FALSE)="","",VLOOKUP(A50,'Р 1. "Общие сведения"'!$I$8:$L$180,4,FALSE))</f>
        <v/>
      </c>
    </row>
    <row r="51">
      <c r="A51" s="16" t="str">
        <f>IF('Р 1. "Общие сведения"'!I52="","",'Р 1. "Общие сведения"'!I52)</f>
        <v xml:space="preserve"> </v>
      </c>
      <c r="B51" s="17" t="str">
        <f>IF('Р 1. "Общие сведения"'!J52="","",'Р 1. "Общие сведения"'!J52)</f>
        <v/>
      </c>
      <c r="C51" s="17" t="str">
        <f>IF('Р 1. "Общие сведения"'!H52="","",'Р 1. "Общие сведения"'!H52)</f>
        <v/>
      </c>
      <c r="D51" s="17" t="str">
        <f>IF('Р 1. "Общие сведения"'!D52="","",'Р 1. "Общие сведения"'!D52)</f>
        <v/>
      </c>
      <c r="E51" s="17" t="str">
        <f>IF('Р 1. "Общие сведения"'!K52="","",'Р 1. "Общие сведения"'!K52)</f>
        <v/>
      </c>
      <c r="F51" s="18" t="str">
        <f>IF(OR(Таблица26[[#This Row],[Столбец1]]="",Таблица26[[#This Row],[Столбец5]]="",),"",VLOOKUP(A51,Таблица9[#All],2,FALSE))</f>
        <v/>
      </c>
      <c r="G51" s="21" t="str">
        <f>IF(OR(Таблица26[[#This Row],[Столбец1]]="",Таблица26[[#This Row],[Столбец5]]=""),"",VLOOKUP(A51,'Р 5. Финансирование'!$A$9:$D$89,3,FALSE))</f>
        <v/>
      </c>
      <c r="H51" s="21" t="str">
        <f>IF(OR(Таблица26[[#This Row],[Столбец1]]="",Таблица26[[#This Row],[Столбец5]]=""),"",VLOOKUP(A51,'Р 5. Финансирование'!$A$9:$D$89,4,FALSE))</f>
        <v/>
      </c>
      <c r="I51" s="22" t="str">
        <f>IF(OR(Таблица26[[#This Row],[Столбец5]]="отсутствует",Таблица26[[#This Row],[Столбец5]]=""),"",VLOOKUP(A51,'Р 4. Показатели_индикаторы'!$A$9:$J$103,3,FALSE))</f>
        <v/>
      </c>
      <c r="J51" s="22" t="str">
        <f>IF(OR(Таблица26[[#This Row],[Столбец5]]="отсутствует",Таблица26[[#This Row],[Столбец5]]=""),"",VLOOKUP(A51,'Р 4. Показатели_индикаторы'!$A$9:$J$103,4,FALSE))</f>
        <v/>
      </c>
      <c r="K51" s="22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Показатели_индикаторы'!$A$9:$J$103,5,FALSE))</f>
        <v/>
      </c>
      <c r="L51" s="22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Показатели_индикаторы'!$A$9:$J$103,6,FALSE))</f>
        <v/>
      </c>
      <c r="M51" s="22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Показатели_индикаторы'!$A$9:$J$103,7,FALSE))</f>
        <v/>
      </c>
      <c r="N51" s="22" t="str">
        <f>IF(OR(Таблица26[[#This Row],[Столбец1]]="",Таблица26[[#This Row],[Столбец5]]="",Таблица26[[#This Row],[Столбец5]]="отсутствует"),"",VLOOKUP(A51,'Р 4. Показатели_индикаторы'!$A$9:$J$103,8,FALSE))</f>
        <v/>
      </c>
      <c r="O51" s="24" t="str">
        <f>IF(VLOOKUP(A51,'Р 1. "Общие сведения"'!$I$8:$L$180,4,FALSE)="","",VLOOKUP(A51,'Р 1. "Общие сведения"'!$I$8:$L$180,4,FALSE))</f>
        <v/>
      </c>
    </row>
    <row r="52">
      <c r="A52" s="16" t="str">
        <f>IF('Р 1. "Общие сведения"'!I53="","",'Р 1. "Общие сведения"'!I53)</f>
        <v xml:space="preserve"> </v>
      </c>
      <c r="B52" s="17" t="str">
        <f>IF('Р 1. "Общие сведения"'!J53="","",'Р 1. "Общие сведения"'!J53)</f>
        <v/>
      </c>
      <c r="C52" s="17" t="str">
        <f>IF('Р 1. "Общие сведения"'!H53="","",'Р 1. "Общие сведения"'!H53)</f>
        <v/>
      </c>
      <c r="D52" s="17" t="str">
        <f>IF('Р 1. "Общие сведения"'!D53="","",'Р 1. "Общие сведения"'!D53)</f>
        <v/>
      </c>
      <c r="E52" s="17" t="str">
        <f>IF('Р 1. "Общие сведения"'!K53="","",'Р 1. "Общие сведения"'!K53)</f>
        <v/>
      </c>
      <c r="F52" s="18" t="str">
        <f>IF(OR(Таблица26[[#This Row],[Столбец1]]="",Таблица26[[#This Row],[Столбец5]]="",),"",VLOOKUP(A52,Таблица9[#All],2,FALSE))</f>
        <v/>
      </c>
      <c r="G52" s="21" t="str">
        <f>IF(OR(Таблица26[[#This Row],[Столбец1]]="",Таблица26[[#This Row],[Столбец5]]=""),"",VLOOKUP(A52,'Р 5. Финансирование'!$A$9:$D$89,3,FALSE))</f>
        <v/>
      </c>
      <c r="H52" s="21" t="str">
        <f>IF(OR(Таблица26[[#This Row],[Столбец1]]="",Таблица26[[#This Row],[Столбец5]]=""),"",VLOOKUP(A52,'Р 5. Финансирование'!$A$9:$D$89,4,FALSE))</f>
        <v/>
      </c>
      <c r="I52" s="22" t="str">
        <f>IF(OR(Таблица26[[#This Row],[Столбец5]]="отсутствует",Таблица26[[#This Row],[Столбец5]]=""),"",VLOOKUP(A52,'Р 4. Показатели_индикаторы'!$A$9:$J$103,3,FALSE))</f>
        <v/>
      </c>
      <c r="J52" s="22" t="str">
        <f>IF(OR(Таблица26[[#This Row],[Столбец5]]="отсутствует",Таблица26[[#This Row],[Столбец5]]=""),"",VLOOKUP(A52,'Р 4. Показатели_индикаторы'!$A$9:$J$103,4,FALSE))</f>
        <v/>
      </c>
      <c r="K52" s="22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Показатели_индикаторы'!$A$9:$J$103,5,FALSE))</f>
        <v/>
      </c>
      <c r="L52" s="22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Показатели_индикаторы'!$A$9:$J$103,6,FALSE))</f>
        <v/>
      </c>
      <c r="M52" s="22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Показатели_индикаторы'!$A$9:$J$103,7,FALSE))</f>
        <v/>
      </c>
      <c r="N52" s="22" t="str">
        <f>IF(OR(Таблица26[[#This Row],[Столбец1]]="",Таблица26[[#This Row],[Столбец5]]="",Таблица26[[#This Row],[Столбец5]]="отсутствует"),"",VLOOKUP(A52,'Р 4. Показатели_индикаторы'!$A$9:$J$103,8,FALSE))</f>
        <v/>
      </c>
      <c r="O52" s="24" t="str">
        <f>IF(VLOOKUP(A52,'Р 1. "Общие сведения"'!$I$8:$L$180,4,FALSE)="","",VLOOKUP(A52,'Р 1. "Общие сведения"'!$I$8:$L$180,4,FALSE))</f>
        <v/>
      </c>
    </row>
    <row r="53">
      <c r="A53" s="16" t="str">
        <f>IF('Р 1. "Общие сведения"'!I54="","",'Р 1. "Общие сведения"'!I54)</f>
        <v xml:space="preserve"> </v>
      </c>
      <c r="B53" s="17" t="str">
        <f>IF('Р 1. "Общие сведения"'!J54="","",'Р 1. "Общие сведения"'!J54)</f>
        <v/>
      </c>
      <c r="C53" s="17" t="str">
        <f>IF('Р 1. "Общие сведения"'!H54="","",'Р 1. "Общие сведения"'!H54)</f>
        <v/>
      </c>
      <c r="D53" s="17" t="str">
        <f>IF('Р 1. "Общие сведения"'!D54="","",'Р 1. "Общие сведения"'!D54)</f>
        <v/>
      </c>
      <c r="E53" s="17" t="str">
        <f>IF('Р 1. "Общие сведения"'!K54="","",'Р 1. "Общие сведения"'!K54)</f>
        <v/>
      </c>
      <c r="F53" s="18" t="str">
        <f>IF(OR(Таблица26[[#This Row],[Столбец1]]="",Таблица26[[#This Row],[Столбец5]]="",),"",VLOOKUP(A53,Таблица9[#All],2,FALSE))</f>
        <v/>
      </c>
      <c r="G53" s="21" t="str">
        <f>IF(OR(Таблица26[[#This Row],[Столбец1]]="",Таблица26[[#This Row],[Столбец5]]=""),"",VLOOKUP(A53,'Р 5. Финансирование'!$A$9:$D$89,3,FALSE))</f>
        <v/>
      </c>
      <c r="H53" s="21" t="str">
        <f>IF(OR(Таблица26[[#This Row],[Столбец1]]="",Таблица26[[#This Row],[Столбец5]]=""),"",VLOOKUP(A53,'Р 5. Финансирование'!$A$9:$D$89,4,FALSE))</f>
        <v/>
      </c>
      <c r="I53" s="22" t="str">
        <f>IF(OR(Таблица26[[#This Row],[Столбец5]]="отсутствует",Таблица26[[#This Row],[Столбец5]]=""),"",VLOOKUP(A53,'Р 4. Показатели_индикаторы'!$A$9:$J$103,3,FALSE))</f>
        <v/>
      </c>
      <c r="J53" s="22" t="str">
        <f>IF(OR(Таблица26[[#This Row],[Столбец5]]="отсутствует",Таблица26[[#This Row],[Столбец5]]=""),"",VLOOKUP(A53,'Р 4. Показатели_индикаторы'!$A$9:$J$103,4,FALSE))</f>
        <v/>
      </c>
      <c r="K53" s="22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Показатели_индикаторы'!$A$9:$J$103,5,FALSE))</f>
        <v/>
      </c>
      <c r="L53" s="22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Показатели_индикаторы'!$A$9:$J$103,6,FALSE))</f>
        <v/>
      </c>
      <c r="M53" s="22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Показатели_индикаторы'!$A$9:$J$103,7,FALSE))</f>
        <v/>
      </c>
      <c r="N53" s="22" t="str">
        <f>IF(OR(Таблица26[[#This Row],[Столбец1]]="",Таблица26[[#This Row],[Столбец5]]="",Таблица26[[#This Row],[Столбец5]]="отсутствует"),"",VLOOKUP(A53,'Р 4. Показатели_индикаторы'!$A$9:$J$103,8,FALSE))</f>
        <v/>
      </c>
      <c r="O53" s="24" t="str">
        <f>IF(VLOOKUP(A53,'Р 1. "Общие сведения"'!$I$8:$L$180,4,FALSE)="","",VLOOKUP(A53,'Р 1. "Общие сведения"'!$I$8:$L$180,4,FALSE))</f>
        <v/>
      </c>
    </row>
    <row r="54">
      <c r="A54" s="16" t="str">
        <f>IF('Р 1. "Общие сведения"'!I55="","",'Р 1. "Общие сведения"'!I55)</f>
        <v xml:space="preserve"> </v>
      </c>
      <c r="B54" s="17" t="str">
        <f>IF('Р 1. "Общие сведения"'!J55="","",'Р 1. "Общие сведения"'!J55)</f>
        <v/>
      </c>
      <c r="C54" s="17" t="str">
        <f>IF('Р 1. "Общие сведения"'!H55="","",'Р 1. "Общие сведения"'!H55)</f>
        <v/>
      </c>
      <c r="D54" s="17" t="str">
        <f>IF('Р 1. "Общие сведения"'!D55="","",'Р 1. "Общие сведения"'!D55)</f>
        <v/>
      </c>
      <c r="E54" s="17" t="str">
        <f>IF('Р 1. "Общие сведения"'!K55="","",'Р 1. "Общие сведения"'!K55)</f>
        <v/>
      </c>
      <c r="F54" s="18" t="str">
        <f>IF(OR(Таблица26[[#This Row],[Столбец1]]="",Таблица26[[#This Row],[Столбец5]]="",),"",VLOOKUP(A54,Таблица9[#All],2,FALSE))</f>
        <v/>
      </c>
      <c r="G54" s="21" t="str">
        <f>IF(OR(Таблица26[[#This Row],[Столбец1]]="",Таблица26[[#This Row],[Столбец5]]=""),"",VLOOKUP(A54,'Р 5. Финансирование'!$A$9:$D$89,3,FALSE))</f>
        <v/>
      </c>
      <c r="H54" s="21" t="str">
        <f>IF(OR(Таблица26[[#This Row],[Столбец1]]="",Таблица26[[#This Row],[Столбец5]]=""),"",VLOOKUP(A54,'Р 5. Финансирование'!$A$9:$D$89,4,FALSE))</f>
        <v/>
      </c>
      <c r="I54" s="22" t="str">
        <f>IF(OR(Таблица26[[#This Row],[Столбец5]]="отсутствует",Таблица26[[#This Row],[Столбец5]]=""),"",VLOOKUP(A54,'Р 4. Показатели_индикаторы'!$A$9:$J$103,3,FALSE))</f>
        <v/>
      </c>
      <c r="J54" s="22" t="str">
        <f>IF(OR(Таблица26[[#This Row],[Столбец5]]="отсутствует",Таблица26[[#This Row],[Столбец5]]=""),"",VLOOKUP(A54,'Р 4. Показатели_индикаторы'!$A$9:$J$103,4,FALSE))</f>
        <v/>
      </c>
      <c r="K54" s="22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Показатели_индикаторы'!$A$9:$J$103,5,FALSE))</f>
        <v/>
      </c>
      <c r="L54" s="22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Показатели_индикаторы'!$A$9:$J$103,6,FALSE))</f>
        <v/>
      </c>
      <c r="M54" s="22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Показатели_индикаторы'!$A$9:$J$103,7,FALSE))</f>
        <v/>
      </c>
      <c r="N54" s="22" t="str">
        <f>IF(OR(Таблица26[[#This Row],[Столбец1]]="",Таблица26[[#This Row],[Столбец5]]="",Таблица26[[#This Row],[Столбец5]]="отсутствует"),"",VLOOKUP(A54,'Р 4. Показатели_индикаторы'!$A$9:$J$103,8,FALSE))</f>
        <v/>
      </c>
      <c r="O54" s="24" t="str">
        <f>IF(VLOOKUP(A54,'Р 1. "Общие сведения"'!$I$8:$L$180,4,FALSE)="","",VLOOKUP(A54,'Р 1. "Общие сведения"'!$I$8:$L$180,4,FALSE))</f>
        <v/>
      </c>
    </row>
    <row r="55">
      <c r="A55" s="16" t="str">
        <f>IF('Р 1. "Общие сведения"'!I56="","",'Р 1. "Общие сведения"'!I56)</f>
        <v xml:space="preserve"> </v>
      </c>
      <c r="B55" s="17" t="str">
        <f>IF('Р 1. "Общие сведения"'!J56="","",'Р 1. "Общие сведения"'!J56)</f>
        <v/>
      </c>
      <c r="C55" s="17" t="str">
        <f>IF('Р 1. "Общие сведения"'!H56="","",'Р 1. "Общие сведения"'!H56)</f>
        <v/>
      </c>
      <c r="D55" s="17" t="str">
        <f>IF('Р 1. "Общие сведения"'!D56="","",'Р 1. "Общие сведения"'!D56)</f>
        <v/>
      </c>
      <c r="E55" s="17" t="str">
        <f>IF('Р 1. "Общие сведения"'!K56="","",'Р 1. "Общие сведения"'!K56)</f>
        <v/>
      </c>
      <c r="F55" s="18" t="str">
        <f>IF(OR(Таблица26[[#This Row],[Столбец1]]="",Таблица26[[#This Row],[Столбец5]]="",),"",VLOOKUP(A55,Таблица9[#All],2,FALSE))</f>
        <v/>
      </c>
      <c r="G55" s="21" t="str">
        <f>IF(OR(Таблица26[[#This Row],[Столбец1]]="",Таблица26[[#This Row],[Столбец5]]=""),"",VLOOKUP(A55,'Р 5. Финансирование'!$A$9:$D$89,3,FALSE))</f>
        <v/>
      </c>
      <c r="H55" s="21" t="str">
        <f>IF(OR(Таблица26[[#This Row],[Столбец1]]="",Таблица26[[#This Row],[Столбец5]]=""),"",VLOOKUP(A55,'Р 5. Финансирование'!$A$9:$D$89,4,FALSE))</f>
        <v/>
      </c>
      <c r="I55" s="22" t="str">
        <f>IF(OR(Таблица26[[#This Row],[Столбец5]]="отсутствует",Таблица26[[#This Row],[Столбец5]]=""),"",VLOOKUP(A55,'Р 4. Показатели_индикаторы'!$A$9:$J$103,3,FALSE))</f>
        <v/>
      </c>
      <c r="J55" s="22" t="str">
        <f>IF(OR(Таблица26[[#This Row],[Столбец5]]="отсутствует",Таблица26[[#This Row],[Столбец5]]=""),"",VLOOKUP(A55,'Р 4. Показатели_индикаторы'!$A$9:$J$103,4,FALSE))</f>
        <v/>
      </c>
      <c r="K55" s="22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Показатели_индикаторы'!$A$9:$J$103,5,FALSE))</f>
        <v/>
      </c>
      <c r="L55" s="22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Показатели_индикаторы'!$A$9:$J$103,6,FALSE))</f>
        <v/>
      </c>
      <c r="M55" s="22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Показатели_индикаторы'!$A$9:$J$103,7,FALSE))</f>
        <v/>
      </c>
      <c r="N55" s="22" t="str">
        <f>IF(OR(Таблица26[[#This Row],[Столбец1]]="",Таблица26[[#This Row],[Столбец5]]="",Таблица26[[#This Row],[Столбец5]]="отсутствует"),"",VLOOKUP(A55,'Р 4. Показатели_индикаторы'!$A$9:$J$103,8,FALSE))</f>
        <v/>
      </c>
      <c r="O55" s="24" t="str">
        <f>IF(VLOOKUP(A55,'Р 1. "Общие сведения"'!$I$8:$L$180,4,FALSE)="","",VLOOKUP(A55,'Р 1. "Общие сведения"'!$I$8:$L$180,4,FALSE))</f>
        <v/>
      </c>
    </row>
    <row r="56">
      <c r="A56" s="16" t="str">
        <f>IF('Р 1. "Общие сведения"'!I57="","",'Р 1. "Общие сведения"'!I57)</f>
        <v xml:space="preserve"> </v>
      </c>
      <c r="B56" s="17" t="str">
        <f>IF('Р 1. "Общие сведения"'!J57="","",'Р 1. "Общие сведения"'!J57)</f>
        <v/>
      </c>
      <c r="C56" s="17" t="str">
        <f>IF('Р 1. "Общие сведения"'!H57="","",'Р 1. "Общие сведения"'!H57)</f>
        <v/>
      </c>
      <c r="D56" s="17" t="str">
        <f>IF('Р 1. "Общие сведения"'!D57="","",'Р 1. "Общие сведения"'!D57)</f>
        <v/>
      </c>
      <c r="E56" s="17" t="str">
        <f>IF('Р 1. "Общие сведения"'!K57="","",'Р 1. "Общие сведения"'!K57)</f>
        <v/>
      </c>
      <c r="F56" s="18" t="str">
        <f>IF(OR(Таблица26[[#This Row],[Столбец1]]="",Таблица26[[#This Row],[Столбец5]]="",),"",VLOOKUP(A56,Таблица9[#All],2,FALSE))</f>
        <v/>
      </c>
      <c r="G56" s="21" t="str">
        <f>IF(OR(Таблица26[[#This Row],[Столбец1]]="",Таблица26[[#This Row],[Столбец5]]=""),"",VLOOKUP(A56,'Р 5. Финансирование'!$A$9:$D$89,3,FALSE))</f>
        <v/>
      </c>
      <c r="H56" s="21" t="str">
        <f>IF(OR(Таблица26[[#This Row],[Столбец1]]="",Таблица26[[#This Row],[Столбец5]]=""),"",VLOOKUP(A56,'Р 5. Финансирование'!$A$9:$D$89,4,FALSE))</f>
        <v/>
      </c>
      <c r="I56" s="22" t="str">
        <f>IF(OR(Таблица26[[#This Row],[Столбец5]]="отсутствует",Таблица26[[#This Row],[Столбец5]]=""),"",VLOOKUP(A56,'Р 4. Показатели_индикаторы'!$A$9:$J$103,3,FALSE))</f>
        <v/>
      </c>
      <c r="J56" s="22" t="str">
        <f>IF(OR(Таблица26[[#This Row],[Столбец5]]="отсутствует",Таблица26[[#This Row],[Столбец5]]=""),"",VLOOKUP(A56,'Р 4. Показатели_индикаторы'!$A$9:$J$103,4,FALSE))</f>
        <v/>
      </c>
      <c r="K56" s="22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Показатели_индикаторы'!$A$9:$J$103,5,FALSE))</f>
        <v/>
      </c>
      <c r="L56" s="22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Показатели_индикаторы'!$A$9:$J$103,6,FALSE))</f>
        <v/>
      </c>
      <c r="M56" s="22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Показатели_индикаторы'!$A$9:$J$103,7,FALSE))</f>
        <v/>
      </c>
      <c r="N56" s="22" t="str">
        <f>IF(OR(Таблица26[[#This Row],[Столбец1]]="",Таблица26[[#This Row],[Столбец5]]="",Таблица26[[#This Row],[Столбец5]]="отсутствует"),"",VLOOKUP(A56,'Р 4. Показатели_индикаторы'!$A$9:$J$103,8,FALSE))</f>
        <v/>
      </c>
      <c r="O56" s="24" t="str">
        <f>IF(VLOOKUP(A56,'Р 1. "Общие сведения"'!$I$8:$L$180,4,FALSE)="","",VLOOKUP(A56,'Р 1. "Общие сведения"'!$I$8:$L$180,4,FALSE))</f>
        <v/>
      </c>
    </row>
    <row r="57">
      <c r="A57" s="16" t="str">
        <f>IF('Р 1. "Общие сведения"'!I58="","",'Р 1. "Общие сведения"'!I58)</f>
        <v xml:space="preserve"> </v>
      </c>
      <c r="B57" s="17" t="str">
        <f>IF('Р 1. "Общие сведения"'!J58="","",'Р 1. "Общие сведения"'!J58)</f>
        <v/>
      </c>
      <c r="C57" s="17" t="str">
        <f>IF('Р 1. "Общие сведения"'!H58="","",'Р 1. "Общие сведения"'!H58)</f>
        <v/>
      </c>
      <c r="D57" s="17" t="str">
        <f>IF('Р 1. "Общие сведения"'!D58="","",'Р 1. "Общие сведения"'!D58)</f>
        <v/>
      </c>
      <c r="E57" s="17" t="str">
        <f>IF('Р 1. "Общие сведения"'!K58="","",'Р 1. "Общие сведения"'!K58)</f>
        <v/>
      </c>
      <c r="F57" s="18" t="str">
        <f>IF(OR(Таблица26[[#This Row],[Столбец1]]="",Таблица26[[#This Row],[Столбец5]]="",),"",VLOOKUP(A57,Таблица9[#All],2,FALSE))</f>
        <v/>
      </c>
      <c r="G57" s="21" t="str">
        <f>IF(OR(Таблица26[[#This Row],[Столбец1]]="",Таблица26[[#This Row],[Столбец5]]=""),"",VLOOKUP(A57,'Р 5. Финансирование'!$A$9:$D$89,3,FALSE))</f>
        <v/>
      </c>
      <c r="H57" s="21" t="str">
        <f>IF(OR(Таблица26[[#This Row],[Столбец1]]="",Таблица26[[#This Row],[Столбец5]]=""),"",VLOOKUP(A57,'Р 5. Финансирование'!$A$9:$D$89,4,FALSE))</f>
        <v/>
      </c>
      <c r="I57" s="22" t="str">
        <f>IF(OR(Таблица26[[#This Row],[Столбец5]]="отсутствует",Таблица26[[#This Row],[Столбец5]]=""),"",VLOOKUP(A57,'Р 4. Показатели_индикаторы'!$A$9:$J$103,3,FALSE))</f>
        <v/>
      </c>
      <c r="J57" s="22" t="str">
        <f>IF(OR(Таблица26[[#This Row],[Столбец5]]="отсутствует",Таблица26[[#This Row],[Столбец5]]=""),"",VLOOKUP(A57,'Р 4. Показатели_индикаторы'!$A$9:$J$103,4,FALSE))</f>
        <v/>
      </c>
      <c r="K57" s="22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Показатели_индикаторы'!$A$9:$J$103,5,FALSE))</f>
        <v/>
      </c>
      <c r="L57" s="22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Показатели_индикаторы'!$A$9:$J$103,6,FALSE))</f>
        <v/>
      </c>
      <c r="M57" s="22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Показатели_индикаторы'!$A$9:$J$103,7,FALSE))</f>
        <v/>
      </c>
      <c r="N57" s="22" t="str">
        <f>IF(OR(Таблица26[[#This Row],[Столбец1]]="",Таблица26[[#This Row],[Столбец5]]="",Таблица26[[#This Row],[Столбец5]]="отсутствует"),"",VLOOKUP(A57,'Р 4. Показатели_индикаторы'!$A$9:$J$103,8,FALSE))</f>
        <v/>
      </c>
      <c r="O57" s="24" t="str">
        <f>IF(VLOOKUP(A57,'Р 1. "Общие сведения"'!$I$8:$L$180,4,FALSE)="","",VLOOKUP(A57,'Р 1. "Общие сведения"'!$I$8:$L$180,4,FALSE))</f>
        <v/>
      </c>
    </row>
    <row r="58">
      <c r="A58" s="16" t="str">
        <f>IF('Р 1. "Общие сведения"'!I59="","",'Р 1. "Общие сведения"'!I59)</f>
        <v xml:space="preserve"> </v>
      </c>
      <c r="B58" s="17" t="str">
        <f>IF('Р 1. "Общие сведения"'!J59="","",'Р 1. "Общие сведения"'!J59)</f>
        <v/>
      </c>
      <c r="C58" s="17" t="str">
        <f>IF('Р 1. "Общие сведения"'!H59="","",'Р 1. "Общие сведения"'!H59)</f>
        <v/>
      </c>
      <c r="D58" s="17" t="str">
        <f>IF('Р 1. "Общие сведения"'!D59="","",'Р 1. "Общие сведения"'!D59)</f>
        <v/>
      </c>
      <c r="E58" s="17" t="str">
        <f>IF('Р 1. "Общие сведения"'!K59="","",'Р 1. "Общие сведения"'!K59)</f>
        <v/>
      </c>
      <c r="F58" s="18" t="str">
        <f>IF(OR(Таблица26[[#This Row],[Столбец1]]="",Таблица26[[#This Row],[Столбец5]]="",),"",VLOOKUP(A58,Таблица9[#All],2,FALSE))</f>
        <v/>
      </c>
      <c r="G58" s="21" t="str">
        <f>IF(OR(Таблица26[[#This Row],[Столбец1]]="",Таблица26[[#This Row],[Столбец5]]=""),"",VLOOKUP(A58,'Р 5. Финансирование'!$A$9:$D$89,3,FALSE))</f>
        <v/>
      </c>
      <c r="H58" s="21" t="str">
        <f>IF(OR(Таблица26[[#This Row],[Столбец1]]="",Таблица26[[#This Row],[Столбец5]]=""),"",VLOOKUP(A58,'Р 5. Финансирование'!$A$9:$D$89,4,FALSE))</f>
        <v/>
      </c>
      <c r="I58" s="22" t="str">
        <f>IF(OR(Таблица26[[#This Row],[Столбец5]]="отсутствует",Таблица26[[#This Row],[Столбец5]]=""),"",VLOOKUP(A58,'Р 4. Показатели_индикаторы'!$A$9:$J$103,3,FALSE))</f>
        <v/>
      </c>
      <c r="J58" s="22" t="str">
        <f>IF(OR(Таблица26[[#This Row],[Столбец5]]="отсутствует",Таблица26[[#This Row],[Столбец5]]=""),"",VLOOKUP(A58,'Р 4. Показатели_индикаторы'!$A$9:$J$103,4,FALSE))</f>
        <v/>
      </c>
      <c r="K58" s="22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Показатели_индикаторы'!$A$9:$J$103,5,FALSE))</f>
        <v/>
      </c>
      <c r="L58" s="22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Показатели_индикаторы'!$A$9:$J$103,6,FALSE))</f>
        <v/>
      </c>
      <c r="M58" s="22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Показатели_индикаторы'!$A$9:$J$103,7,FALSE))</f>
        <v/>
      </c>
      <c r="N58" s="22" t="str">
        <f>IF(OR(Таблица26[[#This Row],[Столбец1]]="",Таблица26[[#This Row],[Столбец5]]="",Таблица26[[#This Row],[Столбец5]]="отсутствует"),"",VLOOKUP(A58,'Р 4. Показатели_индикаторы'!$A$9:$J$103,8,FALSE))</f>
        <v/>
      </c>
      <c r="O58" s="24" t="str">
        <f>IF(VLOOKUP(A58,'Р 1. "Общие сведения"'!$I$8:$L$180,4,FALSE)="","",VLOOKUP(A58,'Р 1. "Общие сведения"'!$I$8:$L$180,4,FALSE))</f>
        <v/>
      </c>
    </row>
    <row r="59">
      <c r="A59" s="16" t="str">
        <f>IF('Р 1. "Общие сведения"'!I60="","",'Р 1. "Общие сведения"'!I60)</f>
        <v xml:space="preserve"> </v>
      </c>
      <c r="B59" s="17" t="str">
        <f>IF('Р 1. "Общие сведения"'!J60="","",'Р 1. "Общие сведения"'!J60)</f>
        <v/>
      </c>
      <c r="C59" s="17" t="str">
        <f>IF('Р 1. "Общие сведения"'!H60="","",'Р 1. "Общие сведения"'!H60)</f>
        <v/>
      </c>
      <c r="D59" s="17" t="str">
        <f>IF('Р 1. "Общие сведения"'!D60="","",'Р 1. "Общие сведения"'!D60)</f>
        <v/>
      </c>
      <c r="E59" s="17" t="str">
        <f>IF('Р 1. "Общие сведения"'!K60="","",'Р 1. "Общие сведения"'!K60)</f>
        <v/>
      </c>
      <c r="F59" s="18" t="str">
        <f>IF(OR(Таблица26[[#This Row],[Столбец1]]="",Таблица26[[#This Row],[Столбец5]]="",),"",VLOOKUP(A59,Таблица9[#All],2,FALSE))</f>
        <v/>
      </c>
      <c r="G59" s="21" t="str">
        <f>IF(OR(Таблица26[[#This Row],[Столбец1]]="",Таблица26[[#This Row],[Столбец5]]=""),"",VLOOKUP(A59,'Р 5. Финансирование'!$A$9:$D$89,3,FALSE))</f>
        <v/>
      </c>
      <c r="H59" s="21" t="str">
        <f>IF(OR(Таблица26[[#This Row],[Столбец1]]="",Таблица26[[#This Row],[Столбец5]]=""),"",VLOOKUP(A59,'Р 5. Финансирование'!$A$9:$D$89,4,FALSE))</f>
        <v/>
      </c>
      <c r="I59" s="22" t="str">
        <f>IF(OR(Таблица26[[#This Row],[Столбец5]]="отсутствует",Таблица26[[#This Row],[Столбец5]]=""),"",VLOOKUP(A59,'Р 4. Показатели_индикаторы'!$A$9:$J$103,3,FALSE))</f>
        <v/>
      </c>
      <c r="J59" s="22" t="str">
        <f>IF(OR(Таблица26[[#This Row],[Столбец5]]="отсутствует",Таблица26[[#This Row],[Столбец5]]=""),"",VLOOKUP(A59,'Р 4. Показатели_индикаторы'!$A$9:$J$103,4,FALSE))</f>
        <v/>
      </c>
      <c r="K59" s="22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Показатели_индикаторы'!$A$9:$J$103,5,FALSE))</f>
        <v/>
      </c>
      <c r="L59" s="22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Показатели_индикаторы'!$A$9:$J$103,6,FALSE))</f>
        <v/>
      </c>
      <c r="M59" s="22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Показатели_индикаторы'!$A$9:$J$103,7,FALSE))</f>
        <v/>
      </c>
      <c r="N59" s="22" t="str">
        <f>IF(OR(Таблица26[[#This Row],[Столбец1]]="",Таблица26[[#This Row],[Столбец5]]="",Таблица26[[#This Row],[Столбец5]]="отсутствует"),"",VLOOKUP(A59,'Р 4. Показатели_индикаторы'!$A$9:$J$103,8,FALSE))</f>
        <v/>
      </c>
      <c r="O59" s="24" t="str">
        <f>IF(VLOOKUP(A59,'Р 1. "Общие сведения"'!$I$8:$L$180,4,FALSE)="","",VLOOKUP(A59,'Р 1. "Общие сведения"'!$I$8:$L$180,4,FALSE))</f>
        <v/>
      </c>
    </row>
    <row r="60">
      <c r="A60" s="16" t="str">
        <f>IF('Р 1. "Общие сведения"'!I61="","",'Р 1. "Общие сведения"'!I61)</f>
        <v xml:space="preserve"> </v>
      </c>
      <c r="B60" s="17" t="str">
        <f>IF('Р 1. "Общие сведения"'!J61="","",'Р 1. "Общие сведения"'!J61)</f>
        <v/>
      </c>
      <c r="C60" s="17" t="str">
        <f>IF('Р 1. "Общие сведения"'!H61="","",'Р 1. "Общие сведения"'!H61)</f>
        <v/>
      </c>
      <c r="D60" s="17" t="str">
        <f>IF('Р 1. "Общие сведения"'!D61="","",'Р 1. "Общие сведения"'!D61)</f>
        <v/>
      </c>
      <c r="E60" s="17" t="str">
        <f>IF('Р 1. "Общие сведения"'!K61="","",'Р 1. "Общие сведения"'!K61)</f>
        <v/>
      </c>
      <c r="F60" s="18" t="str">
        <f>IF(OR(Таблица26[[#This Row],[Столбец1]]="",Таблица26[[#This Row],[Столбец5]]="",),"",VLOOKUP(A60,Таблица9[#All],2,FALSE))</f>
        <v/>
      </c>
      <c r="G60" s="21" t="str">
        <f>IF(OR(Таблица26[[#This Row],[Столбец1]]="",Таблица26[[#This Row],[Столбец5]]=""),"",VLOOKUP(A60,'Р 5. Финансирование'!$A$9:$D$89,3,FALSE))</f>
        <v/>
      </c>
      <c r="H60" s="21" t="str">
        <f>IF(OR(Таблица26[[#This Row],[Столбец1]]="",Таблица26[[#This Row],[Столбец5]]=""),"",VLOOKUP(A60,'Р 5. Финансирование'!$A$9:$D$89,4,FALSE))</f>
        <v/>
      </c>
      <c r="I60" s="22" t="str">
        <f>IF(OR(Таблица26[[#This Row],[Столбец5]]="отсутствует",Таблица26[[#This Row],[Столбец5]]=""),"",VLOOKUP(A60,'Р 4. Показатели_индикаторы'!$A$9:$J$103,3,FALSE))</f>
        <v/>
      </c>
      <c r="J60" s="22" t="str">
        <f>IF(OR(Таблица26[[#This Row],[Столбец5]]="отсутствует",Таблица26[[#This Row],[Столбец5]]=""),"",VLOOKUP(A60,'Р 4. Показатели_индикаторы'!$A$9:$J$103,4,FALSE))</f>
        <v/>
      </c>
      <c r="K60" s="22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Показатели_индикаторы'!$A$9:$J$103,5,FALSE))</f>
        <v/>
      </c>
      <c r="L60" s="22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Показатели_индикаторы'!$A$9:$J$103,6,FALSE))</f>
        <v/>
      </c>
      <c r="M60" s="22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Показатели_индикаторы'!$A$9:$J$103,7,FALSE))</f>
        <v/>
      </c>
      <c r="N60" s="22" t="str">
        <f>IF(OR(Таблица26[[#This Row],[Столбец1]]="",Таблица26[[#This Row],[Столбец5]]="",Таблица26[[#This Row],[Столбец5]]="отсутствует"),"",VLOOKUP(A60,'Р 4. Показатели_индикаторы'!$A$9:$J$103,8,FALSE))</f>
        <v/>
      </c>
      <c r="O60" s="24" t="str">
        <f>IF(VLOOKUP(A60,'Р 1. "Общие сведения"'!$I$8:$L$180,4,FALSE)="","",VLOOKUP(A60,'Р 1. "Общие сведения"'!$I$8:$L$180,4,FALSE))</f>
        <v/>
      </c>
    </row>
    <row r="61">
      <c r="A61" s="16" t="str">
        <f>IF('Р 1. "Общие сведения"'!I62="","",'Р 1. "Общие сведения"'!I62)</f>
        <v xml:space="preserve"> </v>
      </c>
      <c r="B61" s="17" t="str">
        <f>IF('Р 1. "Общие сведения"'!J62="","",'Р 1. "Общие сведения"'!J62)</f>
        <v/>
      </c>
      <c r="C61" s="17" t="str">
        <f>IF('Р 1. "Общие сведения"'!H62="","",'Р 1. "Общие сведения"'!H62)</f>
        <v/>
      </c>
      <c r="D61" s="17" t="str">
        <f>IF('Р 1. "Общие сведения"'!D62="","",'Р 1. "Общие сведения"'!D62)</f>
        <v/>
      </c>
      <c r="E61" s="17" t="str">
        <f>IF('Р 1. "Общие сведения"'!K62="","",'Р 1. "Общие сведения"'!K62)</f>
        <v/>
      </c>
      <c r="F61" s="18" t="str">
        <f>IF(OR(Таблица26[[#This Row],[Столбец1]]="",Таблица26[[#This Row],[Столбец5]]="",),"",VLOOKUP(A61,Таблица9[#All],2,FALSE))</f>
        <v/>
      </c>
      <c r="G61" s="21" t="str">
        <f>IF(OR(Таблица26[[#This Row],[Столбец1]]="",Таблица26[[#This Row],[Столбец5]]=""),"",VLOOKUP(A61,'Р 5. Финансирование'!$A$9:$D$89,3,FALSE))</f>
        <v/>
      </c>
      <c r="H61" s="21" t="str">
        <f>IF(OR(Таблица26[[#This Row],[Столбец1]]="",Таблица26[[#This Row],[Столбец5]]=""),"",VLOOKUP(A61,'Р 5. Финансирование'!$A$9:$D$89,4,FALSE))</f>
        <v/>
      </c>
      <c r="I61" s="22" t="str">
        <f>IF(OR(Таблица26[[#This Row],[Столбец5]]="отсутствует",Таблица26[[#This Row],[Столбец5]]=""),"",VLOOKUP(A61,'Р 4. Показатели_индикаторы'!$A$9:$J$103,3,FALSE))</f>
        <v/>
      </c>
      <c r="J61" s="22" t="str">
        <f>IF(OR(Таблица26[[#This Row],[Столбец5]]="отсутствует",Таблица26[[#This Row],[Столбец5]]=""),"",VLOOKUP(A61,'Р 4. Показатели_индикаторы'!$A$9:$J$103,4,FALSE))</f>
        <v/>
      </c>
      <c r="K61" s="22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Показатели_индикаторы'!$A$9:$J$103,5,FALSE))</f>
        <v/>
      </c>
      <c r="L61" s="22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Показатели_индикаторы'!$A$9:$J$103,6,FALSE))</f>
        <v/>
      </c>
      <c r="M61" s="22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Показатели_индикаторы'!$A$9:$J$103,7,FALSE))</f>
        <v/>
      </c>
      <c r="N61" s="22" t="str">
        <f>IF(OR(Таблица26[[#This Row],[Столбец1]]="",Таблица26[[#This Row],[Столбец5]]="",Таблица26[[#This Row],[Столбец5]]="отсутствует"),"",VLOOKUP(A61,'Р 4. Показатели_индикаторы'!$A$9:$J$103,8,FALSE))</f>
        <v/>
      </c>
      <c r="O61" s="24" t="str">
        <f>IF(VLOOKUP(A61,'Р 1. "Общие сведения"'!$I$8:$L$180,4,FALSE)="","",VLOOKUP(A61,'Р 1. "Общие сведения"'!$I$8:$L$180,4,FALSE))</f>
        <v/>
      </c>
    </row>
    <row r="62">
      <c r="A62" s="16" t="str">
        <f>IF('Р 1. "Общие сведения"'!I63="","",'Р 1. "Общие сведения"'!I63)</f>
        <v xml:space="preserve"> </v>
      </c>
      <c r="B62" s="17" t="str">
        <f>IF('Р 1. "Общие сведения"'!J63="","",'Р 1. "Общие сведения"'!J63)</f>
        <v/>
      </c>
      <c r="C62" s="17" t="str">
        <f>IF('Р 1. "Общие сведения"'!H63="","",'Р 1. "Общие сведения"'!H63)</f>
        <v/>
      </c>
      <c r="D62" s="17" t="str">
        <f>IF('Р 1. "Общие сведения"'!D63="","",'Р 1. "Общие сведения"'!D63)</f>
        <v/>
      </c>
      <c r="E62" s="17" t="str">
        <f>IF('Р 1. "Общие сведения"'!K63="","",'Р 1. "Общие сведения"'!K63)</f>
        <v/>
      </c>
      <c r="F62" s="18" t="str">
        <f>IF(OR(Таблица26[[#This Row],[Столбец1]]="",Таблица26[[#This Row],[Столбец5]]="",),"",VLOOKUP(A62,Таблица9[#All],2,FALSE))</f>
        <v/>
      </c>
      <c r="G62" s="21" t="str">
        <f>IF(OR(Таблица26[[#This Row],[Столбец1]]="",Таблица26[[#This Row],[Столбец5]]=""),"",VLOOKUP(A62,'Р 5. Финансирование'!$A$9:$D$89,3,FALSE))</f>
        <v/>
      </c>
      <c r="H62" s="21" t="str">
        <f>IF(OR(Таблица26[[#This Row],[Столбец1]]="",Таблица26[[#This Row],[Столбец5]]=""),"",VLOOKUP(A62,'Р 5. Финансирование'!$A$9:$D$89,4,FALSE))</f>
        <v/>
      </c>
      <c r="I62" s="22" t="str">
        <f>IF(OR(Таблица26[[#This Row],[Столбец5]]="отсутствует",Таблица26[[#This Row],[Столбец5]]=""),"",VLOOKUP(A62,'Р 4. Показатели_индикаторы'!$A$9:$J$103,3,FALSE))</f>
        <v/>
      </c>
      <c r="J62" s="22" t="str">
        <f>IF(OR(Таблица26[[#This Row],[Столбец5]]="отсутствует",Таблица26[[#This Row],[Столбец5]]=""),"",VLOOKUP(A62,'Р 4. Показатели_индикаторы'!$A$9:$J$103,4,FALSE))</f>
        <v/>
      </c>
      <c r="K62" s="22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Показатели_индикаторы'!$A$9:$J$103,5,FALSE))</f>
        <v/>
      </c>
      <c r="L62" s="22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Показатели_индикаторы'!$A$9:$J$103,6,FALSE))</f>
        <v/>
      </c>
      <c r="M62" s="22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Показатели_индикаторы'!$A$9:$J$103,7,FALSE))</f>
        <v/>
      </c>
      <c r="N62" s="22" t="str">
        <f>IF(OR(Таблица26[[#This Row],[Столбец1]]="",Таблица26[[#This Row],[Столбец5]]="",Таблица26[[#This Row],[Столбец5]]="отсутствует"),"",VLOOKUP(A62,'Р 4. Показатели_индикаторы'!$A$9:$J$103,8,FALSE))</f>
        <v/>
      </c>
      <c r="O62" s="24" t="str">
        <f>IF(VLOOKUP(A62,'Р 1. "Общие сведения"'!$I$8:$L$180,4,FALSE)="","",VLOOKUP(A62,'Р 1. "Общие сведения"'!$I$8:$L$180,4,FALSE))</f>
        <v/>
      </c>
    </row>
    <row r="63">
      <c r="A63" s="16" t="str">
        <f>IF('Р 1. "Общие сведения"'!I64="","",'Р 1. "Общие сведения"'!I64)</f>
        <v xml:space="preserve"> </v>
      </c>
      <c r="B63" s="17" t="str">
        <f>IF('Р 1. "Общие сведения"'!J64="","",'Р 1. "Общие сведения"'!J64)</f>
        <v/>
      </c>
      <c r="C63" s="17" t="str">
        <f>IF('Р 1. "Общие сведения"'!H64="","",'Р 1. "Общие сведения"'!H64)</f>
        <v/>
      </c>
      <c r="D63" s="17" t="str">
        <f>IF('Р 1. "Общие сведения"'!D64="","",'Р 1. "Общие сведения"'!D64)</f>
        <v/>
      </c>
      <c r="E63" s="17" t="str">
        <f>IF('Р 1. "Общие сведения"'!K64="","",'Р 1. "Общие сведения"'!K64)</f>
        <v/>
      </c>
      <c r="F63" s="18" t="str">
        <f>IF(OR(Таблица26[[#This Row],[Столбец1]]="",Таблица26[[#This Row],[Столбец5]]="",),"",VLOOKUP(A63,Таблица9[#All],2,FALSE))</f>
        <v/>
      </c>
      <c r="G63" s="21" t="str">
        <f>IF(OR(Таблица26[[#This Row],[Столбец1]]="",Таблица26[[#This Row],[Столбец5]]=""),"",VLOOKUP(A63,'Р 5. Финансирование'!$A$9:$D$89,3,FALSE))</f>
        <v/>
      </c>
      <c r="H63" s="21" t="str">
        <f>IF(OR(Таблица26[[#This Row],[Столбец1]]="",Таблица26[[#This Row],[Столбец5]]=""),"",VLOOKUP(A63,'Р 5. Финансирование'!$A$9:$D$89,4,FALSE))</f>
        <v/>
      </c>
      <c r="I63" s="22" t="str">
        <f>IF(OR(Таблица26[[#This Row],[Столбец5]]="отсутствует",Таблица26[[#This Row],[Столбец5]]=""),"",VLOOKUP(A63,'Р 4. Показатели_индикаторы'!$A$9:$J$103,3,FALSE))</f>
        <v/>
      </c>
      <c r="J63" s="22" t="str">
        <f>IF(OR(Таблица26[[#This Row],[Столбец5]]="отсутствует",Таблица26[[#This Row],[Столбец5]]=""),"",VLOOKUP(A63,'Р 4. Показатели_индикаторы'!$A$9:$J$103,4,FALSE))</f>
        <v/>
      </c>
      <c r="K63" s="22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Показатели_индикаторы'!$A$9:$J$103,5,FALSE))</f>
        <v/>
      </c>
      <c r="L63" s="22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Показатели_индикаторы'!$A$9:$J$103,6,FALSE))</f>
        <v/>
      </c>
      <c r="M63" s="22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Показатели_индикаторы'!$A$9:$J$103,7,FALSE))</f>
        <v/>
      </c>
      <c r="N63" s="22" t="str">
        <f>IF(OR(Таблица26[[#This Row],[Столбец1]]="",Таблица26[[#This Row],[Столбец5]]="",Таблица26[[#This Row],[Столбец5]]="отсутствует"),"",VLOOKUP(A63,'Р 4. Показатели_индикаторы'!$A$9:$J$103,8,FALSE))</f>
        <v/>
      </c>
      <c r="O63" s="24" t="str">
        <f>IF(VLOOKUP(A63,'Р 1. "Общие сведения"'!$I$8:$L$180,4,FALSE)="","",VLOOKUP(A63,'Р 1. "Общие сведения"'!$I$8:$L$180,4,FALSE))</f>
        <v/>
      </c>
    </row>
    <row r="64">
      <c r="A64" s="16" t="str">
        <f>IF('Р 1. "Общие сведения"'!I65="","",'Р 1. "Общие сведения"'!I65)</f>
        <v xml:space="preserve"> </v>
      </c>
      <c r="B64" s="17" t="str">
        <f>IF('Р 1. "Общие сведения"'!J65="","",'Р 1. "Общие сведения"'!J65)</f>
        <v/>
      </c>
      <c r="C64" s="17" t="str">
        <f>IF('Р 1. "Общие сведения"'!H65="","",'Р 1. "Общие сведения"'!H65)</f>
        <v/>
      </c>
      <c r="D64" s="17" t="str">
        <f>IF('Р 1. "Общие сведения"'!D65="","",'Р 1. "Общие сведения"'!D65)</f>
        <v/>
      </c>
      <c r="E64" s="17" t="str">
        <f>IF('Р 1. "Общие сведения"'!K65="","",'Р 1. "Общие сведения"'!K65)</f>
        <v/>
      </c>
      <c r="F64" s="18" t="str">
        <f>IF(OR(Таблица26[[#This Row],[Столбец1]]="",Таблица26[[#This Row],[Столбец5]]="",),"",VLOOKUP(A64,Таблица9[#All],2,FALSE))</f>
        <v/>
      </c>
      <c r="G64" s="21" t="str">
        <f>IF(OR(Таблица26[[#This Row],[Столбец1]]="",Таблица26[[#This Row],[Столбец5]]=""),"",VLOOKUP(A64,'Р 5. Финансирование'!$A$9:$D$89,3,FALSE))</f>
        <v/>
      </c>
      <c r="H64" s="21" t="str">
        <f>IF(OR(Таблица26[[#This Row],[Столбец1]]="",Таблица26[[#This Row],[Столбец5]]=""),"",VLOOKUP(A64,'Р 5. Финансирование'!$A$9:$D$89,4,FALSE))</f>
        <v/>
      </c>
      <c r="I64" s="22" t="str">
        <f>IF(OR(Таблица26[[#This Row],[Столбец5]]="отсутствует",Таблица26[[#This Row],[Столбец5]]=""),"",VLOOKUP(A64,'Р 4. Показатели_индикаторы'!$A$9:$J$103,3,FALSE))</f>
        <v/>
      </c>
      <c r="J64" s="22" t="str">
        <f>IF(OR(Таблица26[[#This Row],[Столбец5]]="отсутствует",Таблица26[[#This Row],[Столбец5]]=""),"",VLOOKUP(A64,'Р 4. Показатели_индикаторы'!$A$9:$J$103,4,FALSE))</f>
        <v/>
      </c>
      <c r="K64" s="22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Показатели_индикаторы'!$A$9:$J$103,5,FALSE))</f>
        <v/>
      </c>
      <c r="L64" s="22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Показатели_индикаторы'!$A$9:$J$103,6,FALSE))</f>
        <v/>
      </c>
      <c r="M64" s="22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Показатели_индикаторы'!$A$9:$J$103,7,FALSE))</f>
        <v/>
      </c>
      <c r="N64" s="22" t="str">
        <f>IF(OR(Таблица26[[#This Row],[Столбец1]]="",Таблица26[[#This Row],[Столбец5]]="",Таблица26[[#This Row],[Столбец5]]="отсутствует"),"",VLOOKUP(A64,'Р 4. Показатели_индикаторы'!$A$9:$J$103,8,FALSE))</f>
        <v/>
      </c>
      <c r="O64" s="24" t="str">
        <f>IF(VLOOKUP(A64,'Р 1. "Общие сведения"'!$I$8:$L$180,4,FALSE)="","",VLOOKUP(A64,'Р 1. "Общие сведения"'!$I$8:$L$180,4,FALSE))</f>
        <v/>
      </c>
    </row>
    <row r="65">
      <c r="A65" s="16" t="str">
        <f>IF('Р 1. "Общие сведения"'!I66="","",'Р 1. "Общие сведения"'!I66)</f>
        <v xml:space="preserve"> </v>
      </c>
      <c r="B65" s="17" t="str">
        <f>IF('Р 1. "Общие сведения"'!J66="","",'Р 1. "Общие сведения"'!J66)</f>
        <v/>
      </c>
      <c r="C65" s="17" t="str">
        <f>IF('Р 1. "Общие сведения"'!H66="","",'Р 1. "Общие сведения"'!H66)</f>
        <v/>
      </c>
      <c r="D65" s="17" t="str">
        <f>IF('Р 1. "Общие сведения"'!D66="","",'Р 1. "Общие сведения"'!D66)</f>
        <v/>
      </c>
      <c r="E65" s="17" t="str">
        <f>IF('Р 1. "Общие сведения"'!K66="","",'Р 1. "Общие сведения"'!K66)</f>
        <v/>
      </c>
      <c r="F65" s="18" t="str">
        <f>IF(OR(Таблица26[[#This Row],[Столбец1]]="",Таблица26[[#This Row],[Столбец5]]="",),"",VLOOKUP(A65,Таблица9[#All],2,FALSE))</f>
        <v/>
      </c>
      <c r="G65" s="21" t="str">
        <f>IF(OR(Таблица26[[#This Row],[Столбец1]]="",Таблица26[[#This Row],[Столбец5]]=""),"",VLOOKUP(A65,'Р 5. Финансирование'!$A$9:$D$89,3,FALSE))</f>
        <v/>
      </c>
      <c r="H65" s="21" t="str">
        <f>IF(OR(Таблица26[[#This Row],[Столбец1]]="",Таблица26[[#This Row],[Столбец5]]=""),"",VLOOKUP(A65,'Р 5. Финансирование'!$A$9:$D$89,4,FALSE))</f>
        <v/>
      </c>
      <c r="I65" s="22" t="str">
        <f>IF(OR(Таблица26[[#This Row],[Столбец5]]="отсутствует",Таблица26[[#This Row],[Столбец5]]=""),"",VLOOKUP(A65,'Р 4. Показатели_индикаторы'!$A$9:$J$103,3,FALSE))</f>
        <v/>
      </c>
      <c r="J65" s="22" t="str">
        <f>IF(OR(Таблица26[[#This Row],[Столбец5]]="отсутствует",Таблица26[[#This Row],[Столбец5]]=""),"",VLOOKUP(A65,'Р 4. Показатели_индикаторы'!$A$9:$J$103,4,FALSE))</f>
        <v/>
      </c>
      <c r="K65" s="22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Показатели_индикаторы'!$A$9:$J$103,5,FALSE))</f>
        <v/>
      </c>
      <c r="L65" s="22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Показатели_индикаторы'!$A$9:$J$103,6,FALSE))</f>
        <v/>
      </c>
      <c r="M65" s="22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Показатели_индикаторы'!$A$9:$J$103,7,FALSE))</f>
        <v/>
      </c>
      <c r="N65" s="22" t="str">
        <f>IF(OR(Таблица26[[#This Row],[Столбец1]]="",Таблица26[[#This Row],[Столбец5]]="",Таблица26[[#This Row],[Столбец5]]="отсутствует"),"",VLOOKUP(A65,'Р 4. Показатели_индикаторы'!$A$9:$J$103,8,FALSE))</f>
        <v/>
      </c>
      <c r="O65" s="24" t="str">
        <f>IF(VLOOKUP(A65,'Р 1. "Общие сведения"'!$I$8:$L$180,4,FALSE)="","",VLOOKUP(A65,'Р 1. "Общие сведения"'!$I$8:$L$180,4,FALSE))</f>
        <v/>
      </c>
    </row>
    <row r="66">
      <c r="A66" s="16" t="str">
        <f>IF('Р 1. "Общие сведения"'!I67="","",'Р 1. "Общие сведения"'!I67)</f>
        <v xml:space="preserve"> </v>
      </c>
      <c r="B66" s="17" t="str">
        <f>IF('Р 1. "Общие сведения"'!J67="","",'Р 1. "Общие сведения"'!J67)</f>
        <v/>
      </c>
      <c r="C66" s="17" t="str">
        <f>IF('Р 1. "Общие сведения"'!H67="","",'Р 1. "Общие сведения"'!H67)</f>
        <v/>
      </c>
      <c r="D66" s="17" t="str">
        <f>IF('Р 1. "Общие сведения"'!D67="","",'Р 1. "Общие сведения"'!D67)</f>
        <v/>
      </c>
      <c r="E66" s="17" t="str">
        <f>IF('Р 1. "Общие сведения"'!K67="","",'Р 1. "Общие сведения"'!K67)</f>
        <v/>
      </c>
      <c r="F66" s="18" t="str">
        <f>IF(OR(Таблица26[[#This Row],[Столбец1]]="",Таблица26[[#This Row],[Столбец5]]="",),"",VLOOKUP(A66,Таблица9[#All],2,FALSE))</f>
        <v/>
      </c>
      <c r="G66" s="21" t="str">
        <f>IF(OR(Таблица26[[#This Row],[Столбец1]]="",Таблица26[[#This Row],[Столбец5]]=""),"",VLOOKUP(A66,'Р 5. Финансирование'!$A$9:$D$89,3,FALSE))</f>
        <v/>
      </c>
      <c r="H66" s="21" t="str">
        <f>IF(OR(Таблица26[[#This Row],[Столбец1]]="",Таблица26[[#This Row],[Столбец5]]=""),"",VLOOKUP(A66,'Р 5. Финансирование'!$A$9:$D$89,4,FALSE))</f>
        <v/>
      </c>
      <c r="I66" s="22" t="str">
        <f>IF(OR(Таблица26[[#This Row],[Столбец5]]="отсутствует",Таблица26[[#This Row],[Столбец5]]=""),"",VLOOKUP(A66,'Р 4. Показатели_индикаторы'!$A$9:$J$103,3,FALSE))</f>
        <v/>
      </c>
      <c r="J66" s="22" t="str">
        <f>IF(OR(Таблица26[[#This Row],[Столбец5]]="отсутствует",Таблица26[[#This Row],[Столбец5]]=""),"",VLOOKUP(A66,'Р 4. Показатели_индикаторы'!$A$9:$J$103,4,FALSE))</f>
        <v/>
      </c>
      <c r="K66" s="22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Показатели_индикаторы'!$A$9:$J$103,5,FALSE))</f>
        <v/>
      </c>
      <c r="L66" s="22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Показатели_индикаторы'!$A$9:$J$103,6,FALSE))</f>
        <v/>
      </c>
      <c r="M66" s="22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Показатели_индикаторы'!$A$9:$J$103,7,FALSE))</f>
        <v/>
      </c>
      <c r="N66" s="22" t="str">
        <f>IF(OR(Таблица26[[#This Row],[Столбец1]]="",Таблица26[[#This Row],[Столбец5]]="",Таблица26[[#This Row],[Столбец5]]="отсутствует"),"",VLOOKUP(A66,'Р 4. Показатели_индикаторы'!$A$9:$J$103,8,FALSE))</f>
        <v/>
      </c>
      <c r="O66" s="24" t="str">
        <f>IF(VLOOKUP(A66,'Р 1. "Общие сведения"'!$I$8:$L$180,4,FALSE)="","",VLOOKUP(A66,'Р 1. "Общие сведения"'!$I$8:$L$180,4,FALSE))</f>
        <v/>
      </c>
    </row>
    <row r="67">
      <c r="A67" s="16" t="str">
        <f>IF('Р 1. "Общие сведения"'!I68="","",'Р 1. "Общие сведения"'!I68)</f>
        <v xml:space="preserve"> </v>
      </c>
      <c r="B67" s="17" t="str">
        <f>IF('Р 1. "Общие сведения"'!J68="","",'Р 1. "Общие сведения"'!J68)</f>
        <v/>
      </c>
      <c r="C67" s="17" t="str">
        <f>IF('Р 1. "Общие сведения"'!H68="","",'Р 1. "Общие сведения"'!H68)</f>
        <v/>
      </c>
      <c r="D67" s="17" t="str">
        <f>IF('Р 1. "Общие сведения"'!D68="","",'Р 1. "Общие сведения"'!D68)</f>
        <v/>
      </c>
      <c r="E67" s="17" t="str">
        <f>IF('Р 1. "Общие сведения"'!K68="","",'Р 1. "Общие сведения"'!K68)</f>
        <v/>
      </c>
      <c r="F67" s="18" t="str">
        <f>IF(OR(Таблица26[[#This Row],[Столбец1]]="",Таблица26[[#This Row],[Столбец5]]="",),"",VLOOKUP(A67,Таблица9[#All],2,FALSE))</f>
        <v/>
      </c>
      <c r="G67" s="21" t="str">
        <f>IF(OR(Таблица26[[#This Row],[Столбец1]]="",Таблица26[[#This Row],[Столбец5]]=""),"",VLOOKUP(A67,'Р 5. Финансирование'!$A$9:$D$89,3,FALSE))</f>
        <v/>
      </c>
      <c r="H67" s="21" t="str">
        <f>IF(OR(Таблица26[[#This Row],[Столбец1]]="",Таблица26[[#This Row],[Столбец5]]=""),"",VLOOKUP(A67,'Р 5. Финансирование'!$A$9:$D$89,4,FALSE))</f>
        <v/>
      </c>
      <c r="I67" s="22" t="str">
        <f>IF(OR(Таблица26[[#This Row],[Столбец5]]="отсутствует",Таблица26[[#This Row],[Столбец5]]=""),"",VLOOKUP(A67,'Р 4. Показатели_индикаторы'!$A$9:$J$103,3,FALSE))</f>
        <v/>
      </c>
      <c r="J67" s="22" t="str">
        <f>IF(OR(Таблица26[[#This Row],[Столбец5]]="отсутствует",Таблица26[[#This Row],[Столбец5]]=""),"",VLOOKUP(A67,'Р 4. Показатели_индикаторы'!$A$9:$J$103,4,FALSE))</f>
        <v/>
      </c>
      <c r="K67" s="22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Показатели_индикаторы'!$A$9:$J$103,5,FALSE))</f>
        <v/>
      </c>
      <c r="L67" s="22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Показатели_индикаторы'!$A$9:$J$103,6,FALSE))</f>
        <v/>
      </c>
      <c r="M67" s="22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Показатели_индикаторы'!$A$9:$J$103,7,FALSE))</f>
        <v/>
      </c>
      <c r="N67" s="22" t="str">
        <f>IF(OR(Таблица26[[#This Row],[Столбец1]]="",Таблица26[[#This Row],[Столбец5]]="",Таблица26[[#This Row],[Столбец5]]="отсутствует"),"",VLOOKUP(A67,'Р 4. Показатели_индикаторы'!$A$9:$J$103,8,FALSE))</f>
        <v/>
      </c>
      <c r="O67" s="24" t="str">
        <f>IF(VLOOKUP(A67,'Р 1. "Общие сведения"'!$I$8:$L$180,4,FALSE)="","",VLOOKUP(A67,'Р 1. "Общие сведения"'!$I$8:$L$180,4,FALSE))</f>
        <v/>
      </c>
    </row>
    <row r="68">
      <c r="A68" s="16" t="str">
        <f>IF('Р 1. "Общие сведения"'!I69="","",'Р 1. "Общие сведения"'!I69)</f>
        <v xml:space="preserve"> </v>
      </c>
      <c r="B68" s="17" t="str">
        <f>IF('Р 1. "Общие сведения"'!J69="","",'Р 1. "Общие сведения"'!J69)</f>
        <v/>
      </c>
      <c r="C68" s="17" t="str">
        <f>IF('Р 1. "Общие сведения"'!H69="","",'Р 1. "Общие сведения"'!H69)</f>
        <v/>
      </c>
      <c r="D68" s="17" t="str">
        <f>IF('Р 1. "Общие сведения"'!D69="","",'Р 1. "Общие сведения"'!D69)</f>
        <v/>
      </c>
      <c r="E68" s="17" t="str">
        <f>IF('Р 1. "Общие сведения"'!K69="","",'Р 1. "Общие сведения"'!K69)</f>
        <v/>
      </c>
      <c r="F68" s="18" t="str">
        <f>IF(OR(Таблица26[[#This Row],[Столбец1]]="",Таблица26[[#This Row],[Столбец5]]="",),"",VLOOKUP(A68,Таблица9[#All],2,FALSE))</f>
        <v/>
      </c>
      <c r="G68" s="21" t="str">
        <f>IF(OR(Таблица26[[#This Row],[Столбец1]]="",Таблица26[[#This Row],[Столбец5]]=""),"",VLOOKUP(A68,'Р 5. Финансирование'!$A$9:$D$89,3,FALSE))</f>
        <v/>
      </c>
      <c r="H68" s="21" t="str">
        <f>IF(OR(Таблица26[[#This Row],[Столбец1]]="",Таблица26[[#This Row],[Столбец5]]=""),"",VLOOKUP(A68,'Р 5. Финансирование'!$A$9:$D$89,4,FALSE))</f>
        <v/>
      </c>
      <c r="I68" s="22" t="str">
        <f>IF(OR(Таблица26[[#This Row],[Столбец5]]="отсутствует",Таблица26[[#This Row],[Столбец5]]=""),"",VLOOKUP(A68,'Р 4. Показатели_индикаторы'!$A$9:$J$103,3,FALSE))</f>
        <v/>
      </c>
      <c r="J68" s="22" t="str">
        <f>IF(OR(Таблица26[[#This Row],[Столбец5]]="отсутствует",Таблица26[[#This Row],[Столбец5]]=""),"",VLOOKUP(A68,'Р 4. Показатели_индикаторы'!$A$9:$J$103,4,FALSE))</f>
        <v/>
      </c>
      <c r="K68" s="22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Показатели_индикаторы'!$A$9:$J$103,5,FALSE))</f>
        <v/>
      </c>
      <c r="L68" s="22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Показатели_индикаторы'!$A$9:$J$103,6,FALSE))</f>
        <v/>
      </c>
      <c r="M68" s="22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Показатели_индикаторы'!$A$9:$J$103,7,FALSE))</f>
        <v/>
      </c>
      <c r="N68" s="22" t="str">
        <f>IF(OR(Таблица26[[#This Row],[Столбец1]]="",Таблица26[[#This Row],[Столбец5]]="",Таблица26[[#This Row],[Столбец5]]="отсутствует"),"",VLOOKUP(A68,'Р 4. Показатели_индикаторы'!$A$9:$J$103,8,FALSE))</f>
        <v/>
      </c>
      <c r="O68" s="24" t="str">
        <f>IF(VLOOKUP(A68,'Р 1. "Общие сведения"'!$I$8:$L$180,4,FALSE)="","",VLOOKUP(A68,'Р 1. "Общие сведения"'!$I$8:$L$180,4,FALSE))</f>
        <v/>
      </c>
    </row>
    <row r="69">
      <c r="A69" s="16" t="str">
        <f>IF('Р 1. "Общие сведения"'!I70="","",'Р 1. "Общие сведения"'!I70)</f>
        <v xml:space="preserve"> </v>
      </c>
      <c r="B69" s="17" t="str">
        <f>IF('Р 1. "Общие сведения"'!J70="","",'Р 1. "Общие сведения"'!J70)</f>
        <v/>
      </c>
      <c r="C69" s="17" t="str">
        <f>IF('Р 1. "Общие сведения"'!H70="","",'Р 1. "Общие сведения"'!H70)</f>
        <v/>
      </c>
      <c r="D69" s="17" t="str">
        <f>IF('Р 1. "Общие сведения"'!D70="","",'Р 1. "Общие сведения"'!D70)</f>
        <v/>
      </c>
      <c r="E69" s="17" t="str">
        <f>IF('Р 1. "Общие сведения"'!K70="","",'Р 1. "Общие сведения"'!K70)</f>
        <v/>
      </c>
      <c r="F69" s="18" t="str">
        <f>IF(OR(Таблица26[[#This Row],[Столбец1]]="",Таблица26[[#This Row],[Столбец5]]="",),"",VLOOKUP(A69,Таблица9[#All],2,FALSE))</f>
        <v/>
      </c>
      <c r="G69" s="21" t="str">
        <f>IF(OR(Таблица26[[#This Row],[Столбец1]]="",Таблица26[[#This Row],[Столбец5]]=""),"",VLOOKUP(A69,'Р 5. Финансирование'!$A$9:$D$89,3,FALSE))</f>
        <v/>
      </c>
      <c r="H69" s="21" t="str">
        <f>IF(OR(Таблица26[[#This Row],[Столбец1]]="",Таблица26[[#This Row],[Столбец5]]=""),"",VLOOKUP(A69,'Р 5. Финансирование'!$A$9:$D$89,4,FALSE))</f>
        <v/>
      </c>
      <c r="I69" s="22" t="str">
        <f>IF(OR(Таблица26[[#This Row],[Столбец5]]="отсутствует",Таблица26[[#This Row],[Столбец5]]=""),"",VLOOKUP(A69,'Р 4. Показатели_индикаторы'!$A$9:$J$103,3,FALSE))</f>
        <v/>
      </c>
      <c r="J69" s="22" t="str">
        <f>IF(OR(Таблица26[[#This Row],[Столбец5]]="отсутствует",Таблица26[[#This Row],[Столбец5]]=""),"",VLOOKUP(A69,'Р 4. Показатели_индикаторы'!$A$9:$J$103,4,FALSE))</f>
        <v/>
      </c>
      <c r="K69" s="22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Показатели_индикаторы'!$A$9:$J$103,5,FALSE))</f>
        <v/>
      </c>
      <c r="L69" s="22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Показатели_индикаторы'!$A$9:$J$103,6,FALSE))</f>
        <v/>
      </c>
      <c r="M69" s="22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Показатели_индикаторы'!$A$9:$J$103,7,FALSE))</f>
        <v/>
      </c>
      <c r="N69" s="22" t="str">
        <f>IF(OR(Таблица26[[#This Row],[Столбец1]]="",Таблица26[[#This Row],[Столбец5]]="",Таблица26[[#This Row],[Столбец5]]="отсутствует"),"",VLOOKUP(A69,'Р 4. Показатели_индикаторы'!$A$9:$J$103,8,FALSE))</f>
        <v/>
      </c>
      <c r="O69" s="24" t="str">
        <f>IF(VLOOKUP(A69,'Р 1. "Общие сведения"'!$I$8:$L$180,4,FALSE)="","",VLOOKUP(A69,'Р 1. "Общие сведения"'!$I$8:$L$180,4,FALSE))</f>
        <v/>
      </c>
    </row>
    <row r="70">
      <c r="A70" s="16" t="str">
        <f>IF('Р 1. "Общие сведения"'!I71="","",'Р 1. "Общие сведения"'!I71)</f>
        <v xml:space="preserve"> </v>
      </c>
      <c r="B70" s="17" t="str">
        <f>IF('Р 1. "Общие сведения"'!J71="","",'Р 1. "Общие сведения"'!J71)</f>
        <v/>
      </c>
      <c r="C70" s="17" t="str">
        <f>IF('Р 1. "Общие сведения"'!H71="","",'Р 1. "Общие сведения"'!H71)</f>
        <v/>
      </c>
      <c r="D70" s="17" t="str">
        <f>IF('Р 1. "Общие сведения"'!D71="","",'Р 1. "Общие сведения"'!D71)</f>
        <v/>
      </c>
      <c r="E70" s="17" t="str">
        <f>IF('Р 1. "Общие сведения"'!K71="","",'Р 1. "Общие сведения"'!K71)</f>
        <v/>
      </c>
      <c r="F70" s="18" t="str">
        <f>IF(OR(Таблица26[[#This Row],[Столбец1]]="",Таблица26[[#This Row],[Столбец5]]="",),"",VLOOKUP(A70,Таблица9[#All],2,FALSE))</f>
        <v/>
      </c>
      <c r="G70" s="21" t="str">
        <f>IF(OR(Таблица26[[#This Row],[Столбец1]]="",Таблица26[[#This Row],[Столбец5]]=""),"",VLOOKUP(A70,'Р 5. Финансирование'!$A$9:$D$89,3,FALSE))</f>
        <v/>
      </c>
      <c r="H70" s="21" t="str">
        <f>IF(OR(Таблица26[[#This Row],[Столбец1]]="",Таблица26[[#This Row],[Столбец5]]=""),"",VLOOKUP(A70,'Р 5. Финансирование'!$A$9:$D$89,4,FALSE))</f>
        <v/>
      </c>
      <c r="I70" s="22" t="str">
        <f>IF(OR(Таблица26[[#This Row],[Столбец5]]="отсутствует",Таблица26[[#This Row],[Столбец5]]=""),"",VLOOKUP(A70,'Р 4. Показатели_индикаторы'!$A$9:$J$103,3,FALSE))</f>
        <v/>
      </c>
      <c r="J70" s="22" t="str">
        <f>IF(OR(Таблица26[[#This Row],[Столбец5]]="отсутствует",Таблица26[[#This Row],[Столбец5]]=""),"",VLOOKUP(A70,'Р 4. Показатели_индикаторы'!$A$9:$J$103,4,FALSE))</f>
        <v/>
      </c>
      <c r="K70" s="22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Показатели_индикаторы'!$A$9:$J$103,5,FALSE))</f>
        <v/>
      </c>
      <c r="L70" s="22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Показатели_индикаторы'!$A$9:$J$103,6,FALSE))</f>
        <v/>
      </c>
      <c r="M70" s="22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Показатели_индикаторы'!$A$9:$J$103,7,FALSE))</f>
        <v/>
      </c>
      <c r="N70" s="22" t="str">
        <f>IF(OR(Таблица26[[#This Row],[Столбец1]]="",Таблица26[[#This Row],[Столбец5]]="",Таблица26[[#This Row],[Столбец5]]="отсутствует"),"",VLOOKUP(A70,'Р 4. Показатели_индикаторы'!$A$9:$J$103,8,FALSE))</f>
        <v/>
      </c>
      <c r="O70" s="24" t="str">
        <f>IF(VLOOKUP(A70,'Р 1. "Общие сведения"'!$I$8:$L$180,4,FALSE)="","",VLOOKUP(A70,'Р 1. "Общие сведения"'!$I$8:$L$180,4,FALSE))</f>
        <v/>
      </c>
    </row>
    <row r="71">
      <c r="A71" s="16" t="str">
        <f>IF('Р 1. "Общие сведения"'!I72="","",'Р 1. "Общие сведения"'!I72)</f>
        <v xml:space="preserve"> </v>
      </c>
      <c r="B71" s="17" t="str">
        <f>IF('Р 1. "Общие сведения"'!J72="","",'Р 1. "Общие сведения"'!J72)</f>
        <v/>
      </c>
      <c r="C71" s="17" t="str">
        <f>IF('Р 1. "Общие сведения"'!H72="","",'Р 1. "Общие сведения"'!H72)</f>
        <v/>
      </c>
      <c r="D71" s="17" t="str">
        <f>IF('Р 1. "Общие сведения"'!D72="","",'Р 1. "Общие сведения"'!D72)</f>
        <v/>
      </c>
      <c r="E71" s="17" t="str">
        <f>IF('Р 1. "Общие сведения"'!K72="","",'Р 1. "Общие сведения"'!K72)</f>
        <v/>
      </c>
      <c r="F71" s="18" t="str">
        <f>IF(OR(Таблица26[[#This Row],[Столбец1]]="",Таблица26[[#This Row],[Столбец5]]="",),"",VLOOKUP(A71,Таблица9[#All],2,FALSE))</f>
        <v/>
      </c>
      <c r="G71" s="21" t="str">
        <f>IF(OR(Таблица26[[#This Row],[Столбец1]]="",Таблица26[[#This Row],[Столбец5]]=""),"",VLOOKUP(A71,'Р 5. Финансирование'!$A$9:$D$89,3,FALSE))</f>
        <v/>
      </c>
      <c r="H71" s="21" t="str">
        <f>IF(OR(Таблица26[[#This Row],[Столбец1]]="",Таблица26[[#This Row],[Столбец5]]=""),"",VLOOKUP(A71,'Р 5. Финансирование'!$A$9:$D$89,4,FALSE))</f>
        <v/>
      </c>
      <c r="I71" s="22" t="str">
        <f>IF(OR(Таблица26[[#This Row],[Столбец5]]="отсутствует",Таблица26[[#This Row],[Столбец5]]=""),"",VLOOKUP(A71,'Р 4. Показатели_индикаторы'!$A$9:$J$103,3,FALSE))</f>
        <v/>
      </c>
      <c r="J71" s="22" t="str">
        <f>IF(OR(Таблица26[[#This Row],[Столбец5]]="отсутствует",Таблица26[[#This Row],[Столбец5]]=""),"",VLOOKUP(A71,'Р 4. Показатели_индикаторы'!$A$9:$J$103,4,FALSE))</f>
        <v/>
      </c>
      <c r="K71" s="22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Показатели_индикаторы'!$A$9:$J$103,5,FALSE))</f>
        <v/>
      </c>
      <c r="L71" s="22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Показатели_индикаторы'!$A$9:$J$103,6,FALSE))</f>
        <v/>
      </c>
      <c r="M71" s="22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Показатели_индикаторы'!$A$9:$J$103,7,FALSE))</f>
        <v/>
      </c>
      <c r="N71" s="22" t="str">
        <f>IF(OR(Таблица26[[#This Row],[Столбец1]]="",Таблица26[[#This Row],[Столбец5]]="",Таблица26[[#This Row],[Столбец5]]="отсутствует"),"",VLOOKUP(A71,'Р 4. Показатели_индикаторы'!$A$9:$J$103,8,FALSE))</f>
        <v/>
      </c>
      <c r="O71" s="24" t="str">
        <f>IF(VLOOKUP(A71,'Р 1. "Общие сведения"'!$I$8:$L$180,4,FALSE)="","",VLOOKUP(A71,'Р 1. "Общие сведения"'!$I$8:$L$180,4,FALSE))</f>
        <v/>
      </c>
    </row>
    <row r="72">
      <c r="A72" s="16" t="str">
        <f>IF('Р 1. "Общие сведения"'!I73="","",'Р 1. "Общие сведения"'!I73)</f>
        <v xml:space="preserve"> </v>
      </c>
      <c r="B72" s="17" t="str">
        <f>IF('Р 1. "Общие сведения"'!J73="","",'Р 1. "Общие сведения"'!J73)</f>
        <v/>
      </c>
      <c r="C72" s="17" t="str">
        <f>IF('Р 1. "Общие сведения"'!H73="","",'Р 1. "Общие сведения"'!H73)</f>
        <v/>
      </c>
      <c r="D72" s="17" t="str">
        <f>IF('Р 1. "Общие сведения"'!D73="","",'Р 1. "Общие сведения"'!D73)</f>
        <v/>
      </c>
      <c r="E72" s="17" t="str">
        <f>IF('Р 1. "Общие сведения"'!K73="","",'Р 1. "Общие сведения"'!K73)</f>
        <v/>
      </c>
      <c r="F72" s="18" t="str">
        <f>IF(OR(Таблица26[[#This Row],[Столбец1]]="",Таблица26[[#This Row],[Столбец5]]="",),"",VLOOKUP(A72,Таблица9[#All],2,FALSE))</f>
        <v/>
      </c>
      <c r="G72" s="21" t="str">
        <f>IF(OR(Таблица26[[#This Row],[Столбец1]]="",Таблица26[[#This Row],[Столбец5]]=""),"",VLOOKUP(A72,'Р 5. Финансирование'!$A$9:$D$89,3,FALSE))</f>
        <v/>
      </c>
      <c r="H72" s="21" t="str">
        <f>IF(OR(Таблица26[[#This Row],[Столбец1]]="",Таблица26[[#This Row],[Столбец5]]=""),"",VLOOKUP(A72,'Р 5. Финансирование'!$A$9:$D$89,4,FALSE))</f>
        <v/>
      </c>
      <c r="I72" s="22" t="str">
        <f>IF(OR(Таблица26[[#This Row],[Столбец5]]="отсутствует",Таблица26[[#This Row],[Столбец5]]=""),"",VLOOKUP(A72,'Р 4. Показатели_индикаторы'!$A$9:$J$103,3,FALSE))</f>
        <v/>
      </c>
      <c r="J72" s="22" t="str">
        <f>IF(OR(Таблица26[[#This Row],[Столбец5]]="отсутствует",Таблица26[[#This Row],[Столбец5]]=""),"",VLOOKUP(A72,'Р 4. Показатели_индикаторы'!$A$9:$J$103,4,FALSE))</f>
        <v/>
      </c>
      <c r="K72" s="22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Показатели_индикаторы'!$A$9:$J$103,5,FALSE))</f>
        <v/>
      </c>
      <c r="L72" s="22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Показатели_индикаторы'!$A$9:$J$103,6,FALSE))</f>
        <v/>
      </c>
      <c r="M72" s="22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Показатели_индикаторы'!$A$9:$J$103,7,FALSE))</f>
        <v/>
      </c>
      <c r="N72" s="22" t="str">
        <f>IF(OR(Таблица26[[#This Row],[Столбец1]]="",Таблица26[[#This Row],[Столбец5]]="",Таблица26[[#This Row],[Столбец5]]="отсутствует"),"",VLOOKUP(A72,'Р 4. Показатели_индикаторы'!$A$9:$J$103,8,FALSE))</f>
        <v/>
      </c>
      <c r="O72" s="24" t="str">
        <f>IF(VLOOKUP(A72,'Р 1. "Общие сведения"'!$I$8:$L$180,4,FALSE)="","",VLOOKUP(A72,'Р 1. "Общие сведения"'!$I$8:$L$180,4,FALSE))</f>
        <v/>
      </c>
    </row>
    <row r="73">
      <c r="A73" s="16" t="str">
        <f>IF('Р 1. "Общие сведения"'!I74="","",'Р 1. "Общие сведения"'!I74)</f>
        <v xml:space="preserve"> </v>
      </c>
      <c r="B73" s="17" t="str">
        <f>IF('Р 1. "Общие сведения"'!J74="","",'Р 1. "Общие сведения"'!J74)</f>
        <v/>
      </c>
      <c r="C73" s="17" t="str">
        <f>IF('Р 1. "Общие сведения"'!H74="","",'Р 1. "Общие сведения"'!H74)</f>
        <v/>
      </c>
      <c r="D73" s="17" t="str">
        <f>IF('Р 1. "Общие сведения"'!D74="","",'Р 1. "Общие сведения"'!D74)</f>
        <v/>
      </c>
      <c r="E73" s="17" t="str">
        <f>IF('Р 1. "Общие сведения"'!K74="","",'Р 1. "Общие сведения"'!K74)</f>
        <v/>
      </c>
      <c r="F73" s="18" t="str">
        <f>IF(OR(Таблица26[[#This Row],[Столбец1]]="",Таблица26[[#This Row],[Столбец5]]="",),"",VLOOKUP(A73,Таблица9[#All],2,FALSE))</f>
        <v/>
      </c>
      <c r="G73" s="21" t="str">
        <f>IF(OR(Таблица26[[#This Row],[Столбец1]]="",Таблица26[[#This Row],[Столбец5]]=""),"",VLOOKUP(A73,'Р 5. Финансирование'!$A$9:$D$89,3,FALSE))</f>
        <v/>
      </c>
      <c r="H73" s="21" t="str">
        <f>IF(OR(Таблица26[[#This Row],[Столбец1]]="",Таблица26[[#This Row],[Столбец5]]=""),"",VLOOKUP(A73,'Р 5. Финансирование'!$A$9:$D$89,4,FALSE))</f>
        <v/>
      </c>
      <c r="I73" s="22" t="str">
        <f>IF(OR(Таблица26[[#This Row],[Столбец5]]="отсутствует",Таблица26[[#This Row],[Столбец5]]=""),"",VLOOKUP(A73,'Р 4. Показатели_индикаторы'!$A$9:$J$103,3,FALSE))</f>
        <v/>
      </c>
      <c r="J73" s="22" t="str">
        <f>IF(OR(Таблица26[[#This Row],[Столбец5]]="отсутствует",Таблица26[[#This Row],[Столбец5]]=""),"",VLOOKUP(A73,'Р 4. Показатели_индикаторы'!$A$9:$J$103,4,FALSE))</f>
        <v/>
      </c>
      <c r="K73" s="22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Показатели_индикаторы'!$A$9:$J$103,5,FALSE))</f>
        <v/>
      </c>
      <c r="L73" s="22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Показатели_индикаторы'!$A$9:$J$103,6,FALSE))</f>
        <v/>
      </c>
      <c r="M73" s="22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Показатели_индикаторы'!$A$9:$J$103,7,FALSE))</f>
        <v/>
      </c>
      <c r="N73" s="22" t="str">
        <f>IF(OR(Таблица26[[#This Row],[Столбец1]]="",Таблица26[[#This Row],[Столбец5]]="",Таблица26[[#This Row],[Столбец5]]="отсутствует"),"",VLOOKUP(A73,'Р 4. Показатели_индикаторы'!$A$9:$J$103,8,FALSE))</f>
        <v/>
      </c>
      <c r="O73" s="24" t="str">
        <f>IF(VLOOKUP(A73,'Р 1. "Общие сведения"'!$I$8:$L$180,4,FALSE)="","",VLOOKUP(A73,'Р 1. "Общие сведения"'!$I$8:$L$180,4,FALSE))</f>
        <v/>
      </c>
    </row>
    <row r="74">
      <c r="A74" s="16" t="str">
        <f>IF('Р 1. "Общие сведения"'!I75="","",'Р 1. "Общие сведения"'!I75)</f>
        <v xml:space="preserve"> </v>
      </c>
      <c r="B74" s="17" t="str">
        <f>IF('Р 1. "Общие сведения"'!J75="","",'Р 1. "Общие сведения"'!J75)</f>
        <v/>
      </c>
      <c r="C74" s="17" t="str">
        <f>IF('Р 1. "Общие сведения"'!H75="","",'Р 1. "Общие сведения"'!H75)</f>
        <v/>
      </c>
      <c r="D74" s="17" t="str">
        <f>IF('Р 1. "Общие сведения"'!D75="","",'Р 1. "Общие сведения"'!D75)</f>
        <v/>
      </c>
      <c r="E74" s="17" t="str">
        <f>IF('Р 1. "Общие сведения"'!K75="","",'Р 1. "Общие сведения"'!K75)</f>
        <v/>
      </c>
      <c r="F74" s="18" t="str">
        <f>IF(OR(Таблица26[[#This Row],[Столбец1]]="",Таблица26[[#This Row],[Столбец5]]="",),"",VLOOKUP(A74,Таблица9[#All],2,FALSE))</f>
        <v/>
      </c>
      <c r="G74" s="21" t="str">
        <f>IF(OR(Таблица26[[#This Row],[Столбец1]]="",Таблица26[[#This Row],[Столбец5]]=""),"",VLOOKUP(A74,'Р 5. Финансирование'!$A$9:$D$89,3,FALSE))</f>
        <v/>
      </c>
      <c r="H74" s="21" t="str">
        <f>IF(OR(Таблица26[[#This Row],[Столбец1]]="",Таблица26[[#This Row],[Столбец5]]=""),"",VLOOKUP(A74,'Р 5. Финансирование'!$A$9:$D$89,4,FALSE))</f>
        <v/>
      </c>
      <c r="I74" s="22" t="str">
        <f>IF(OR(Таблица26[[#This Row],[Столбец5]]="отсутствует",Таблица26[[#This Row],[Столбец5]]=""),"",VLOOKUP(A74,'Р 4. Показатели_индикаторы'!$A$9:$J$103,3,FALSE))</f>
        <v/>
      </c>
      <c r="J74" s="22" t="str">
        <f>IF(OR(Таблица26[[#This Row],[Столбец5]]="отсутствует",Таблица26[[#This Row],[Столбец5]]=""),"",VLOOKUP(A74,'Р 4. Показатели_индикаторы'!$A$9:$J$103,4,FALSE))</f>
        <v/>
      </c>
      <c r="K74" s="22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Показатели_индикаторы'!$A$9:$J$103,5,FALSE))</f>
        <v/>
      </c>
      <c r="L74" s="22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Показатели_индикаторы'!$A$9:$J$103,6,FALSE))</f>
        <v/>
      </c>
      <c r="M74" s="22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Показатели_индикаторы'!$A$9:$J$103,7,FALSE))</f>
        <v/>
      </c>
      <c r="N74" s="22" t="str">
        <f>IF(OR(Таблица26[[#This Row],[Столбец1]]="",Таблица26[[#This Row],[Столбец5]]="",Таблица26[[#This Row],[Столбец5]]="отсутствует"),"",VLOOKUP(A74,'Р 4. Показатели_индикаторы'!$A$9:$J$103,8,FALSE))</f>
        <v/>
      </c>
      <c r="O74" s="24" t="str">
        <f>IF(VLOOKUP(A74,'Р 1. "Общие сведения"'!$I$8:$L$180,4,FALSE)="","",VLOOKUP(A74,'Р 1. "Общие сведения"'!$I$8:$L$180,4,FALSE))</f>
        <v/>
      </c>
    </row>
    <row r="75">
      <c r="A75" s="16" t="str">
        <f>IF('Р 1. "Общие сведения"'!I76="","",'Р 1. "Общие сведения"'!I76)</f>
        <v xml:space="preserve"> </v>
      </c>
      <c r="B75" s="17" t="str">
        <f>IF('Р 1. "Общие сведения"'!J76="","",'Р 1. "Общие сведения"'!J76)</f>
        <v/>
      </c>
      <c r="C75" s="17" t="str">
        <f>IF('Р 1. "Общие сведения"'!H76="","",'Р 1. "Общие сведения"'!H76)</f>
        <v/>
      </c>
      <c r="D75" s="17" t="str">
        <f>IF('Р 1. "Общие сведения"'!D76="","",'Р 1. "Общие сведения"'!D76)</f>
        <v/>
      </c>
      <c r="E75" s="17" t="str">
        <f>IF('Р 1. "Общие сведения"'!K76="","",'Р 1. "Общие сведения"'!K76)</f>
        <v/>
      </c>
      <c r="F75" s="18" t="str">
        <f>IF(OR(Таблица26[[#This Row],[Столбец1]]="",Таблица26[[#This Row],[Столбец5]]="",),"",VLOOKUP(A75,Таблица9[#All],2,FALSE))</f>
        <v/>
      </c>
      <c r="G75" s="21" t="str">
        <f>IF(OR(Таблица26[[#This Row],[Столбец1]]="",Таблица26[[#This Row],[Столбец5]]=""),"",VLOOKUP(A75,'Р 5. Финансирование'!$A$9:$D$89,3,FALSE))</f>
        <v/>
      </c>
      <c r="H75" s="21" t="str">
        <f>IF(OR(Таблица26[[#This Row],[Столбец1]]="",Таблица26[[#This Row],[Столбец5]]=""),"",VLOOKUP(A75,'Р 5. Финансирование'!$A$9:$D$89,4,FALSE))</f>
        <v/>
      </c>
      <c r="I75" s="22" t="str">
        <f>IF(OR(Таблица26[[#This Row],[Столбец5]]="отсутствует",Таблица26[[#This Row],[Столбец5]]=""),"",VLOOKUP(A75,'Р 4. Показатели_индикаторы'!$A$9:$J$103,3,FALSE))</f>
        <v/>
      </c>
      <c r="J75" s="22" t="str">
        <f>IF(OR(Таблица26[[#This Row],[Столбец5]]="отсутствует",Таблица26[[#This Row],[Столбец5]]=""),"",VLOOKUP(A75,'Р 4. Показатели_индикаторы'!$A$9:$J$103,4,FALSE))</f>
        <v/>
      </c>
      <c r="K75" s="22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Показатели_индикаторы'!$A$9:$J$103,5,FALSE))</f>
        <v/>
      </c>
      <c r="L75" s="22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Показатели_индикаторы'!$A$9:$J$103,6,FALSE))</f>
        <v/>
      </c>
      <c r="M75" s="22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Показатели_индикаторы'!$A$9:$J$103,7,FALSE))</f>
        <v/>
      </c>
      <c r="N75" s="22" t="str">
        <f>IF(OR(Таблица26[[#This Row],[Столбец1]]="",Таблица26[[#This Row],[Столбец5]]="",Таблица26[[#This Row],[Столбец5]]="отсутствует"),"",VLOOKUP(A75,'Р 4. Показатели_индикаторы'!$A$9:$J$103,8,FALSE))</f>
        <v/>
      </c>
      <c r="O75" s="24" t="str">
        <f>IF(VLOOKUP(A75,'Р 1. "Общие сведения"'!$I$8:$L$180,4,FALSE)="","",VLOOKUP(A75,'Р 1. "Общие сведения"'!$I$8:$L$180,4,FALSE))</f>
        <v/>
      </c>
    </row>
    <row r="76">
      <c r="A76" s="16" t="str">
        <f>IF('Р 1. "Общие сведения"'!I77="","",'Р 1. "Общие сведения"'!I77)</f>
        <v xml:space="preserve"> </v>
      </c>
      <c r="B76" s="17" t="str">
        <f>IF('Р 1. "Общие сведения"'!J77="","",'Р 1. "Общие сведения"'!J77)</f>
        <v/>
      </c>
      <c r="C76" s="17" t="str">
        <f>IF('Р 1. "Общие сведения"'!H77="","",'Р 1. "Общие сведения"'!H77)</f>
        <v/>
      </c>
      <c r="D76" s="17" t="str">
        <f>IF('Р 1. "Общие сведения"'!D77="","",'Р 1. "Общие сведения"'!D77)</f>
        <v/>
      </c>
      <c r="E76" s="17" t="str">
        <f>IF('Р 1. "Общие сведения"'!K77="","",'Р 1. "Общие сведения"'!K77)</f>
        <v/>
      </c>
      <c r="F76" s="18" t="str">
        <f>IF(OR(Таблица26[[#This Row],[Столбец1]]="",Таблица26[[#This Row],[Столбец5]]="",),"",VLOOKUP(A76,Таблица9[#All],2,FALSE))</f>
        <v/>
      </c>
      <c r="G76" s="21" t="str">
        <f>IF(OR(Таблица26[[#This Row],[Столбец1]]="",Таблица26[[#This Row],[Столбец5]]=""),"",VLOOKUP(A76,'Р 5. Финансирование'!$A$9:$D$89,3,FALSE))</f>
        <v/>
      </c>
      <c r="H76" s="21" t="str">
        <f>IF(OR(Таблица26[[#This Row],[Столбец1]]="",Таблица26[[#This Row],[Столбец5]]=""),"",VLOOKUP(A76,'Р 5. Финансирование'!$A$9:$D$89,4,FALSE))</f>
        <v/>
      </c>
      <c r="I76" s="22" t="str">
        <f>IF(OR(Таблица26[[#This Row],[Столбец5]]="отсутствует",Таблица26[[#This Row],[Столбец5]]=""),"",VLOOKUP(A76,'Р 4. Показатели_индикаторы'!$A$9:$J$103,3,FALSE))</f>
        <v/>
      </c>
      <c r="J76" s="22" t="str">
        <f>IF(OR(Таблица26[[#This Row],[Столбец5]]="отсутствует",Таблица26[[#This Row],[Столбец5]]=""),"",VLOOKUP(A76,'Р 4. Показатели_индикаторы'!$A$9:$J$103,4,FALSE))</f>
        <v/>
      </c>
      <c r="K76" s="22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Показатели_индикаторы'!$A$9:$J$103,5,FALSE))</f>
        <v/>
      </c>
      <c r="L76" s="22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Показатели_индикаторы'!$A$9:$J$103,6,FALSE))</f>
        <v/>
      </c>
      <c r="M76" s="22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Показатели_индикаторы'!$A$9:$J$103,7,FALSE))</f>
        <v/>
      </c>
      <c r="N76" s="22" t="str">
        <f>IF(OR(Таблица26[[#This Row],[Столбец1]]="",Таблица26[[#This Row],[Столбец5]]="",Таблица26[[#This Row],[Столбец5]]="отсутствует"),"",VLOOKUP(A76,'Р 4. Показатели_индикаторы'!$A$9:$J$103,8,FALSE))</f>
        <v/>
      </c>
      <c r="O76" s="24" t="str">
        <f>IF(VLOOKUP(A76,'Р 1. "Общие сведения"'!$I$8:$L$180,4,FALSE)="","",VLOOKUP(A76,'Р 1. "Общие сведения"'!$I$8:$L$180,4,FALSE))</f>
        <v/>
      </c>
    </row>
    <row r="77">
      <c r="A77" s="16" t="str">
        <f>IF('Р 1. "Общие сведения"'!I78="","",'Р 1. "Общие сведения"'!I78)</f>
        <v xml:space="preserve"> </v>
      </c>
      <c r="B77" s="17" t="str">
        <f>IF('Р 1. "Общие сведения"'!J78="","",'Р 1. "Общие сведения"'!J78)</f>
        <v/>
      </c>
      <c r="C77" s="17" t="str">
        <f>IF('Р 1. "Общие сведения"'!H78="","",'Р 1. "Общие сведения"'!H78)</f>
        <v/>
      </c>
      <c r="D77" s="17" t="str">
        <f>IF('Р 1. "Общие сведения"'!D78="","",'Р 1. "Общие сведения"'!D78)</f>
        <v/>
      </c>
      <c r="E77" s="17" t="str">
        <f>IF('Р 1. "Общие сведения"'!K78="","",'Р 1. "Общие сведения"'!K78)</f>
        <v/>
      </c>
      <c r="F77" s="18" t="str">
        <f>IF(OR(Таблица26[[#This Row],[Столбец1]]="",Таблица26[[#This Row],[Столбец5]]="",),"",VLOOKUP(A77,Таблица9[#All],2,FALSE))</f>
        <v/>
      </c>
      <c r="G77" s="21" t="str">
        <f>IF(OR(Таблица26[[#This Row],[Столбец1]]="",Таблица26[[#This Row],[Столбец5]]=""),"",VLOOKUP(A77,'Р 5. Финансирование'!$A$9:$D$89,3,FALSE))</f>
        <v/>
      </c>
      <c r="H77" s="21" t="str">
        <f>IF(OR(Таблица26[[#This Row],[Столбец1]]="",Таблица26[[#This Row],[Столбец5]]=""),"",VLOOKUP(A77,'Р 5. Финансирование'!$A$9:$D$89,4,FALSE))</f>
        <v/>
      </c>
      <c r="I77" s="22" t="str">
        <f>IF(OR(Таблица26[[#This Row],[Столбец5]]="отсутствует",Таблица26[[#This Row],[Столбец5]]=""),"",VLOOKUP(A77,'Р 4. Показатели_индикаторы'!$A$9:$J$103,3,FALSE))</f>
        <v/>
      </c>
      <c r="J77" s="22" t="str">
        <f>IF(OR(Таблица26[[#This Row],[Столбец5]]="отсутствует",Таблица26[[#This Row],[Столбец5]]=""),"",VLOOKUP(A77,'Р 4. Показатели_индикаторы'!$A$9:$J$103,4,FALSE))</f>
        <v/>
      </c>
      <c r="K77" s="22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Показатели_индикаторы'!$A$9:$J$103,5,FALSE))</f>
        <v/>
      </c>
      <c r="L77" s="22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Показатели_индикаторы'!$A$9:$J$103,6,FALSE))</f>
        <v/>
      </c>
      <c r="M77" s="22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Показатели_индикаторы'!$A$9:$J$103,7,FALSE))</f>
        <v/>
      </c>
      <c r="N77" s="22" t="str">
        <f>IF(OR(Таблица26[[#This Row],[Столбец1]]="",Таблица26[[#This Row],[Столбец5]]="",Таблица26[[#This Row],[Столбец5]]="отсутствует"),"",VLOOKUP(A77,'Р 4. Показатели_индикаторы'!$A$9:$J$103,8,FALSE))</f>
        <v/>
      </c>
      <c r="O77" s="24" t="str">
        <f>IF(VLOOKUP(A77,'Р 1. "Общие сведения"'!$I$8:$L$180,4,FALSE)="","",VLOOKUP(A77,'Р 1. "Общие сведения"'!$I$8:$L$180,4,FALSE))</f>
        <v/>
      </c>
    </row>
    <row r="78">
      <c r="A78" s="16" t="str">
        <f>IF('Р 1. "Общие сведения"'!I79="","",'Р 1. "Общие сведения"'!I79)</f>
        <v xml:space="preserve"> </v>
      </c>
      <c r="B78" s="17" t="str">
        <f>IF('Р 1. "Общие сведения"'!J79="","",'Р 1. "Общие сведения"'!J79)</f>
        <v/>
      </c>
      <c r="C78" s="17" t="str">
        <f>IF('Р 1. "Общие сведения"'!H79="","",'Р 1. "Общие сведения"'!H79)</f>
        <v/>
      </c>
      <c r="D78" s="17" t="str">
        <f>IF('Р 1. "Общие сведения"'!D79="","",'Р 1. "Общие сведения"'!D79)</f>
        <v/>
      </c>
      <c r="E78" s="17" t="str">
        <f>IF('Р 1. "Общие сведения"'!K79="","",'Р 1. "Общие сведения"'!K79)</f>
        <v/>
      </c>
      <c r="F78" s="18" t="str">
        <f>IF(OR(Таблица26[[#This Row],[Столбец1]]="",Таблица26[[#This Row],[Столбец5]]="",),"",VLOOKUP(A78,Таблица9[#All],2,FALSE))</f>
        <v/>
      </c>
      <c r="G78" s="21" t="str">
        <f>IF(OR(Таблица26[[#This Row],[Столбец1]]="",Таблица26[[#This Row],[Столбец5]]=""),"",VLOOKUP(A78,'Р 5. Финансирование'!$A$9:$D$89,3,FALSE))</f>
        <v/>
      </c>
      <c r="H78" s="21" t="str">
        <f>IF(OR(Таблица26[[#This Row],[Столбец1]]="",Таблица26[[#This Row],[Столбец5]]=""),"",VLOOKUP(A78,'Р 5. Финансирование'!$A$9:$D$89,4,FALSE))</f>
        <v/>
      </c>
      <c r="I78" s="22" t="str">
        <f>IF(OR(Таблица26[[#This Row],[Столбец5]]="отсутствует",Таблица26[[#This Row],[Столбец5]]=""),"",VLOOKUP(A78,'Р 4. Показатели_индикаторы'!$A$9:$J$103,3,FALSE))</f>
        <v/>
      </c>
      <c r="J78" s="22" t="str">
        <f>IF(OR(Таблица26[[#This Row],[Столбец5]]="отсутствует",Таблица26[[#This Row],[Столбец5]]=""),"",VLOOKUP(A78,'Р 4. Показатели_индикаторы'!$A$9:$J$103,4,FALSE))</f>
        <v/>
      </c>
      <c r="K78" s="22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Показатели_индикаторы'!$A$9:$J$103,5,FALSE))</f>
        <v/>
      </c>
      <c r="L78" s="22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Показатели_индикаторы'!$A$9:$J$103,6,FALSE))</f>
        <v/>
      </c>
      <c r="M78" s="22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Показатели_индикаторы'!$A$9:$J$103,7,FALSE))</f>
        <v/>
      </c>
      <c r="N78" s="22" t="str">
        <f>IF(OR(Таблица26[[#This Row],[Столбец1]]="",Таблица26[[#This Row],[Столбец5]]="",Таблица26[[#This Row],[Столбец5]]="отсутствует"),"",VLOOKUP(A78,'Р 4. Показатели_индикаторы'!$A$9:$J$103,8,FALSE))</f>
        <v/>
      </c>
      <c r="O78" s="24" t="str">
        <f>IF(VLOOKUP(A78,'Р 1. "Общие сведения"'!$I$8:$L$180,4,FALSE)="","",VLOOKUP(A78,'Р 1. "Общие сведения"'!$I$8:$L$180,4,FALSE))</f>
        <v/>
      </c>
    </row>
    <row r="79">
      <c r="A79" s="16" t="str">
        <f>IF('Р 1. "Общие сведения"'!I80="","",'Р 1. "Общие сведения"'!I80)</f>
        <v xml:space="preserve"> </v>
      </c>
      <c r="B79" s="17" t="str">
        <f>IF('Р 1. "Общие сведения"'!J80="","",'Р 1. "Общие сведения"'!J80)</f>
        <v/>
      </c>
      <c r="C79" s="17" t="str">
        <f>IF('Р 1. "Общие сведения"'!H80="","",'Р 1. "Общие сведения"'!H80)</f>
        <v/>
      </c>
      <c r="D79" s="17" t="str">
        <f>IF('Р 1. "Общие сведения"'!D80="","",'Р 1. "Общие сведения"'!D80)</f>
        <v/>
      </c>
      <c r="E79" s="17" t="str">
        <f>IF('Р 1. "Общие сведения"'!K80="","",'Р 1. "Общие сведения"'!K80)</f>
        <v/>
      </c>
      <c r="F79" s="18" t="str">
        <f>IF(OR(Таблица26[[#This Row],[Столбец1]]="",Таблица26[[#This Row],[Столбец5]]="",),"",VLOOKUP(A79,Таблица9[#All],2,FALSE))</f>
        <v/>
      </c>
      <c r="G79" s="21" t="str">
        <f>IF(OR(Таблица26[[#This Row],[Столбец1]]="",Таблица26[[#This Row],[Столбец5]]=""),"",VLOOKUP(A79,'Р 5. Финансирование'!$A$9:$D$89,3,FALSE))</f>
        <v/>
      </c>
      <c r="H79" s="21" t="str">
        <f>IF(OR(Таблица26[[#This Row],[Столбец1]]="",Таблица26[[#This Row],[Столбец5]]=""),"",VLOOKUP(A79,'Р 5. Финансирование'!$A$9:$D$89,4,FALSE))</f>
        <v/>
      </c>
      <c r="I79" s="22" t="str">
        <f>IF(OR(Таблица26[[#This Row],[Столбец5]]="отсутствует",Таблица26[[#This Row],[Столбец5]]=""),"",VLOOKUP(A79,'Р 4. Показатели_индикаторы'!$A$9:$J$103,3,FALSE))</f>
        <v/>
      </c>
      <c r="J79" s="22" t="str">
        <f>IF(OR(Таблица26[[#This Row],[Столбец5]]="отсутствует",Таблица26[[#This Row],[Столбец5]]=""),"",VLOOKUP(A79,'Р 4. Показатели_индикаторы'!$A$9:$J$103,4,FALSE))</f>
        <v/>
      </c>
      <c r="K79" s="22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Показатели_индикаторы'!$A$9:$J$103,5,FALSE))</f>
        <v/>
      </c>
      <c r="L79" s="22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Показатели_индикаторы'!$A$9:$J$103,6,FALSE))</f>
        <v/>
      </c>
      <c r="M79" s="22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Показатели_индикаторы'!$A$9:$J$103,7,FALSE))</f>
        <v/>
      </c>
      <c r="N79" s="22" t="str">
        <f>IF(OR(Таблица26[[#This Row],[Столбец1]]="",Таблица26[[#This Row],[Столбец5]]="",Таблица26[[#This Row],[Столбец5]]="отсутствует"),"",VLOOKUP(A79,'Р 4. Показатели_индикаторы'!$A$9:$J$103,8,FALSE))</f>
        <v/>
      </c>
      <c r="O79" s="24" t="str">
        <f>IF(VLOOKUP(A79,'Р 1. "Общие сведения"'!$I$8:$L$180,4,FALSE)="","",VLOOKUP(A79,'Р 1. "Общие сведения"'!$I$8:$L$180,4,FALSE))</f>
        <v/>
      </c>
    </row>
    <row r="80">
      <c r="A80" s="16" t="str">
        <f>IF('Р 1. "Общие сведения"'!I81="","",'Р 1. "Общие сведения"'!I81)</f>
        <v xml:space="preserve"> </v>
      </c>
      <c r="B80" s="17" t="str">
        <f>IF('Р 1. "Общие сведения"'!J81="","",'Р 1. "Общие сведения"'!J81)</f>
        <v/>
      </c>
      <c r="C80" s="17" t="str">
        <f>IF('Р 1. "Общие сведения"'!H81="","",'Р 1. "Общие сведения"'!H81)</f>
        <v/>
      </c>
      <c r="D80" s="17" t="str">
        <f>IF('Р 1. "Общие сведения"'!D81="","",'Р 1. "Общие сведения"'!D81)</f>
        <v/>
      </c>
      <c r="E80" s="17" t="str">
        <f>IF('Р 1. "Общие сведения"'!K81="","",'Р 1. "Общие сведения"'!K81)</f>
        <v/>
      </c>
      <c r="F80" s="18" t="str">
        <f>IF(OR(Таблица26[[#This Row],[Столбец1]]="",Таблица26[[#This Row],[Столбец5]]="",),"",VLOOKUP(A80,Таблица9[#All],2,FALSE))</f>
        <v/>
      </c>
      <c r="G80" s="21" t="str">
        <f>IF(OR(Таблица26[[#This Row],[Столбец1]]="",Таблица26[[#This Row],[Столбец5]]=""),"",VLOOKUP(A80,'Р 5. Финансирование'!$A$9:$D$89,3,FALSE))</f>
        <v/>
      </c>
      <c r="H80" s="21" t="str">
        <f>IF(OR(Таблица26[[#This Row],[Столбец1]]="",Таблица26[[#This Row],[Столбец5]]=""),"",VLOOKUP(A80,'Р 5. Финансирование'!$A$9:$D$89,4,FALSE))</f>
        <v/>
      </c>
      <c r="I80" s="22" t="str">
        <f>IF(OR(Таблица26[[#This Row],[Столбец5]]="отсутствует",Таблица26[[#This Row],[Столбец5]]=""),"",VLOOKUP(A80,'Р 4. Показатели_индикаторы'!$A$9:$J$103,3,FALSE))</f>
        <v/>
      </c>
      <c r="J80" s="22" t="str">
        <f>IF(OR(Таблица26[[#This Row],[Столбец5]]="отсутствует",Таблица26[[#This Row],[Столбец5]]=""),"",VLOOKUP(A80,'Р 4. Показатели_индикаторы'!$A$9:$J$103,4,FALSE))</f>
        <v/>
      </c>
      <c r="K80" s="22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Показатели_индикаторы'!$A$9:$J$103,5,FALSE))</f>
        <v/>
      </c>
      <c r="L80" s="22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Показатели_индикаторы'!$A$9:$J$103,6,FALSE))</f>
        <v/>
      </c>
      <c r="M80" s="22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Показатели_индикаторы'!$A$9:$J$103,7,FALSE))</f>
        <v/>
      </c>
      <c r="N80" s="22" t="str">
        <f>IF(OR(Таблица26[[#This Row],[Столбец1]]="",Таблица26[[#This Row],[Столбец5]]="",Таблица26[[#This Row],[Столбец5]]="отсутствует"),"",VLOOKUP(A80,'Р 4. Показатели_индикаторы'!$A$9:$J$103,8,FALSE))</f>
        <v/>
      </c>
      <c r="O80" s="24" t="str">
        <f>IF(VLOOKUP(A80,'Р 1. "Общие сведения"'!$I$8:$L$180,4,FALSE)="","",VLOOKUP(A80,'Р 1. "Общие сведения"'!$I$8:$L$180,4,FALSE))</f>
        <v/>
      </c>
    </row>
    <row r="81">
      <c r="A81" s="16" t="str">
        <f>IF('Р 1. "Общие сведения"'!I82="","",'Р 1. "Общие сведения"'!I82)</f>
        <v xml:space="preserve"> </v>
      </c>
      <c r="B81" s="17" t="str">
        <f>IF('Р 1. "Общие сведения"'!J82="","",'Р 1. "Общие сведения"'!J82)</f>
        <v/>
      </c>
      <c r="C81" s="17" t="str">
        <f>IF('Р 1. "Общие сведения"'!H82="","",'Р 1. "Общие сведения"'!H82)</f>
        <v/>
      </c>
      <c r="D81" s="17" t="str">
        <f>IF('Р 1. "Общие сведения"'!D82="","",'Р 1. "Общие сведения"'!D82)</f>
        <v/>
      </c>
      <c r="E81" s="17" t="str">
        <f>IF('Р 1. "Общие сведения"'!K82="","",'Р 1. "Общие сведения"'!K82)</f>
        <v/>
      </c>
      <c r="F81" s="18" t="str">
        <f>IF(OR(Таблица26[[#This Row],[Столбец1]]="",Таблица26[[#This Row],[Столбец5]]="",),"",VLOOKUP(A81,Таблица9[#All],2,FALSE))</f>
        <v/>
      </c>
      <c r="G81" s="21" t="str">
        <f>IF(OR(Таблица26[[#This Row],[Столбец1]]="",Таблица26[[#This Row],[Столбец5]]=""),"",VLOOKUP(A81,'Р 5. Финансирование'!$A$9:$D$89,3,FALSE))</f>
        <v/>
      </c>
      <c r="H81" s="21" t="str">
        <f>IF(OR(Таблица26[[#This Row],[Столбец1]]="",Таблица26[[#This Row],[Столбец5]]=""),"",VLOOKUP(A81,'Р 5. Финансирование'!$A$9:$D$89,4,FALSE))</f>
        <v/>
      </c>
      <c r="I81" s="22" t="str">
        <f>IF(OR(Таблица26[[#This Row],[Столбец5]]="отсутствует",Таблица26[[#This Row],[Столбец5]]=""),"",VLOOKUP(A81,'Р 4. Показатели_индикаторы'!$A$9:$J$103,3,FALSE))</f>
        <v/>
      </c>
      <c r="J81" s="22" t="str">
        <f>IF(OR(Таблица26[[#This Row],[Столбец5]]="отсутствует",Таблица26[[#This Row],[Столбец5]]=""),"",VLOOKUP(A81,'Р 4. Показатели_индикаторы'!$A$9:$J$103,4,FALSE))</f>
        <v/>
      </c>
      <c r="K81" s="22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Показатели_индикаторы'!$A$9:$J$103,5,FALSE))</f>
        <v/>
      </c>
      <c r="L81" s="22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Показатели_индикаторы'!$A$9:$J$103,6,FALSE))</f>
        <v/>
      </c>
      <c r="M81" s="22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Показатели_индикаторы'!$A$9:$J$103,7,FALSE))</f>
        <v/>
      </c>
      <c r="N81" s="22" t="str">
        <f>IF(OR(Таблица26[[#This Row],[Столбец1]]="",Таблица26[[#This Row],[Столбец5]]="",Таблица26[[#This Row],[Столбец5]]="отсутствует"),"",VLOOKUP(A81,'Р 4. Показатели_индикаторы'!$A$9:$J$103,8,FALSE))</f>
        <v/>
      </c>
      <c r="O81" s="24" t="str">
        <f>IF(VLOOKUP(A81,'Р 1. "Общие сведения"'!$I$8:$L$180,4,FALSE)="","",VLOOKUP(A81,'Р 1. "Общие сведения"'!$I$8:$L$180,4,FALSE))</f>
        <v/>
      </c>
    </row>
    <row r="82">
      <c r="A82" s="16" t="str">
        <f>IF('Р 1. "Общие сведения"'!I83="","",'Р 1. "Общие сведения"'!I83)</f>
        <v xml:space="preserve"> </v>
      </c>
      <c r="B82" s="17" t="str">
        <f>IF('Р 1. "Общие сведения"'!J83="","",'Р 1. "Общие сведения"'!J83)</f>
        <v/>
      </c>
      <c r="C82" s="17" t="str">
        <f>IF('Р 1. "Общие сведения"'!H83="","",'Р 1. "Общие сведения"'!H83)</f>
        <v/>
      </c>
      <c r="D82" s="17" t="str">
        <f>IF('Р 1. "Общие сведения"'!D83="","",'Р 1. "Общие сведения"'!D83)</f>
        <v/>
      </c>
      <c r="E82" s="17" t="str">
        <f>IF('Р 1. "Общие сведения"'!K83="","",'Р 1. "Общие сведения"'!K83)</f>
        <v/>
      </c>
      <c r="F82" s="18" t="str">
        <f>IF(OR(Таблица26[[#This Row],[Столбец1]]="",Таблица26[[#This Row],[Столбец5]]="",),"",VLOOKUP(A82,Таблица9[#All],2,FALSE))</f>
        <v/>
      </c>
      <c r="G82" s="21" t="str">
        <f>IF(OR(Таблица26[[#This Row],[Столбец1]]="",Таблица26[[#This Row],[Столбец5]]=""),"",VLOOKUP(A82,'Р 5. Финансирование'!$A$9:$D$89,3,FALSE))</f>
        <v/>
      </c>
      <c r="H82" s="21" t="str">
        <f>IF(OR(Таблица26[[#This Row],[Столбец1]]="",Таблица26[[#This Row],[Столбец5]]=""),"",VLOOKUP(A82,'Р 5. Финансирование'!$A$9:$D$89,4,FALSE))</f>
        <v/>
      </c>
      <c r="I82" s="22" t="str">
        <f>IF(OR(Таблица26[[#This Row],[Столбец5]]="отсутствует",Таблица26[[#This Row],[Столбец5]]=""),"",VLOOKUP(A82,'Р 4. Показатели_индикаторы'!$A$9:$J$103,3,FALSE))</f>
        <v/>
      </c>
      <c r="J82" s="22" t="str">
        <f>IF(OR(Таблица26[[#This Row],[Столбец5]]="отсутствует",Таблица26[[#This Row],[Столбец5]]=""),"",VLOOKUP(A82,'Р 4. Показатели_индикаторы'!$A$9:$J$103,4,FALSE))</f>
        <v/>
      </c>
      <c r="K82" s="22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Показатели_индикаторы'!$A$9:$J$103,5,FALSE))</f>
        <v/>
      </c>
      <c r="L82" s="22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Показатели_индикаторы'!$A$9:$J$103,6,FALSE))</f>
        <v/>
      </c>
      <c r="M82" s="22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Показатели_индикаторы'!$A$9:$J$103,7,FALSE))</f>
        <v/>
      </c>
      <c r="N82" s="22" t="str">
        <f>IF(OR(Таблица26[[#This Row],[Столбец1]]="",Таблица26[[#This Row],[Столбец5]]="",Таблица26[[#This Row],[Столбец5]]="отсутствует"),"",VLOOKUP(A82,'Р 4. Показатели_индикаторы'!$A$9:$J$103,8,FALSE))</f>
        <v/>
      </c>
      <c r="O82" s="24" t="str">
        <f>IF(VLOOKUP(A82,'Р 1. "Общие сведения"'!$I$8:$L$180,4,FALSE)="","",VLOOKUP(A82,'Р 1. "Общие сведения"'!$I$8:$L$180,4,FALSE))</f>
        <v/>
      </c>
    </row>
    <row r="83">
      <c r="A83" s="16" t="str">
        <f>IF('Р 1. "Общие сведения"'!I84="","",'Р 1. "Общие сведения"'!I84)</f>
        <v xml:space="preserve"> </v>
      </c>
      <c r="B83" s="17" t="str">
        <f>IF('Р 1. "Общие сведения"'!J84="","",'Р 1. "Общие сведения"'!J84)</f>
        <v/>
      </c>
      <c r="C83" s="17" t="str">
        <f>IF('Р 1. "Общие сведения"'!H84="","",'Р 1. "Общие сведения"'!H84)</f>
        <v/>
      </c>
      <c r="D83" s="17" t="str">
        <f>IF('Р 1. "Общие сведения"'!D84="","",'Р 1. "Общие сведения"'!D84)</f>
        <v/>
      </c>
      <c r="E83" s="17" t="str">
        <f>IF('Р 1. "Общие сведения"'!K84="","",'Р 1. "Общие сведения"'!K84)</f>
        <v/>
      </c>
      <c r="F83" s="18" t="str">
        <f>IF(OR(Таблица26[[#This Row],[Столбец1]]="",Таблица26[[#This Row],[Столбец5]]="",),"",VLOOKUP(A83,Таблица9[#All],2,FALSE))</f>
        <v/>
      </c>
      <c r="G83" s="21" t="str">
        <f>IF(OR(Таблица26[[#This Row],[Столбец1]]="",Таблица26[[#This Row],[Столбец5]]=""),"",VLOOKUP(A83,'Р 5. Финансирование'!$A$9:$D$89,3,FALSE))</f>
        <v/>
      </c>
      <c r="H83" s="21" t="str">
        <f>IF(OR(Таблица26[[#This Row],[Столбец1]]="",Таблица26[[#This Row],[Столбец5]]=""),"",VLOOKUP(A83,'Р 5. Финансирование'!$A$9:$D$89,4,FALSE))</f>
        <v/>
      </c>
      <c r="I83" s="22" t="str">
        <f>IF(OR(Таблица26[[#This Row],[Столбец5]]="отсутствует",Таблица26[[#This Row],[Столбец5]]=""),"",VLOOKUP(A83,'Р 4. Показатели_индикаторы'!$A$9:$J$103,3,FALSE))</f>
        <v/>
      </c>
      <c r="J83" s="22" t="str">
        <f>IF(OR(Таблица26[[#This Row],[Столбец5]]="отсутствует",Таблица26[[#This Row],[Столбец5]]=""),"",VLOOKUP(A83,'Р 4. Показатели_индикаторы'!$A$9:$J$103,4,FALSE))</f>
        <v/>
      </c>
      <c r="K83" s="22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Показатели_индикаторы'!$A$9:$J$103,5,FALSE))</f>
        <v/>
      </c>
      <c r="L83" s="22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Показатели_индикаторы'!$A$9:$J$103,6,FALSE))</f>
        <v/>
      </c>
      <c r="M83" s="22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Показатели_индикаторы'!$A$9:$J$103,7,FALSE))</f>
        <v/>
      </c>
      <c r="N83" s="22" t="str">
        <f>IF(OR(Таблица26[[#This Row],[Столбец1]]="",Таблица26[[#This Row],[Столбец5]]="",Таблица26[[#This Row],[Столбец5]]="отсутствует"),"",VLOOKUP(A83,'Р 4. Показатели_индикаторы'!$A$9:$J$103,8,FALSE))</f>
        <v/>
      </c>
      <c r="O83" s="24" t="str">
        <f>IF(VLOOKUP(A83,'Р 1. "Общие сведения"'!$I$8:$L$180,4,FALSE)="","",VLOOKUP(A83,'Р 1. "Общие сведения"'!$I$8:$L$180,4,FALSE))</f>
        <v/>
      </c>
    </row>
    <row r="84">
      <c r="A84" s="16" t="str">
        <f>IF('Р 1. "Общие сведения"'!I85="","",'Р 1. "Общие сведения"'!I85)</f>
        <v xml:space="preserve"> </v>
      </c>
      <c r="B84" s="17" t="str">
        <f>IF('Р 1. "Общие сведения"'!J85="","",'Р 1. "Общие сведения"'!J85)</f>
        <v/>
      </c>
      <c r="C84" s="17" t="str">
        <f>IF('Р 1. "Общие сведения"'!H85="","",'Р 1. "Общие сведения"'!H85)</f>
        <v/>
      </c>
      <c r="D84" s="17" t="str">
        <f>IF('Р 1. "Общие сведения"'!D85="","",'Р 1. "Общие сведения"'!D85)</f>
        <v/>
      </c>
      <c r="E84" s="17" t="str">
        <f>IF('Р 1. "Общие сведения"'!K85="","",'Р 1. "Общие сведения"'!K85)</f>
        <v/>
      </c>
      <c r="F84" s="18" t="str">
        <f>IF(OR(Таблица26[[#This Row],[Столбец1]]="",Таблица26[[#This Row],[Столбец5]]="",),"",VLOOKUP(A84,Таблица9[#All],2,FALSE))</f>
        <v/>
      </c>
      <c r="G84" s="21" t="str">
        <f>IF(OR(Таблица26[[#This Row],[Столбец1]]="",Таблица26[[#This Row],[Столбец5]]=""),"",VLOOKUP(A84,'Р 5. Финансирование'!$A$9:$D$89,3,FALSE))</f>
        <v/>
      </c>
      <c r="H84" s="21" t="str">
        <f>IF(OR(Таблица26[[#This Row],[Столбец1]]="",Таблица26[[#This Row],[Столбец5]]=""),"",VLOOKUP(A84,'Р 5. Финансирование'!$A$9:$D$89,4,FALSE))</f>
        <v/>
      </c>
      <c r="I84" s="22" t="str">
        <f>IF(OR(Таблица26[[#This Row],[Столбец5]]="отсутствует",Таблица26[[#This Row],[Столбец5]]=""),"",VLOOKUP(A84,'Р 4. Показатели_индикаторы'!$A$9:$J$103,3,FALSE))</f>
        <v/>
      </c>
      <c r="J84" s="22" t="str">
        <f>IF(OR(Таблица26[[#This Row],[Столбец5]]="отсутствует",Таблица26[[#This Row],[Столбец5]]=""),"",VLOOKUP(A84,'Р 4. Показатели_индикаторы'!$A$9:$J$103,4,FALSE))</f>
        <v/>
      </c>
      <c r="K84" s="22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Показатели_индикаторы'!$A$9:$J$103,5,FALSE))</f>
        <v/>
      </c>
      <c r="L84" s="22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Показатели_индикаторы'!$A$9:$J$103,6,FALSE))</f>
        <v/>
      </c>
      <c r="M84" s="22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Показатели_индикаторы'!$A$9:$J$103,7,FALSE))</f>
        <v/>
      </c>
      <c r="N84" s="22" t="str">
        <f>IF(OR(Таблица26[[#This Row],[Столбец1]]="",Таблица26[[#This Row],[Столбец5]]="",Таблица26[[#This Row],[Столбец5]]="отсутствует"),"",VLOOKUP(A84,'Р 4. Показатели_индикаторы'!$A$9:$J$103,8,FALSE))</f>
        <v/>
      </c>
      <c r="O84" s="24" t="str">
        <f>IF(VLOOKUP(A84,'Р 1. "Общие сведения"'!$I$8:$L$180,4,FALSE)="","",VLOOKUP(A84,'Р 1. "Общие сведения"'!$I$8:$L$180,4,FALSE))</f>
        <v/>
      </c>
    </row>
    <row r="85">
      <c r="A85" s="16" t="str">
        <f>IF('Р 1. "Общие сведения"'!I86="","",'Р 1. "Общие сведения"'!I86)</f>
        <v xml:space="preserve"> </v>
      </c>
      <c r="B85" s="17" t="str">
        <f>IF('Р 1. "Общие сведения"'!J86="","",'Р 1. "Общие сведения"'!J86)</f>
        <v/>
      </c>
      <c r="C85" s="17" t="str">
        <f>IF('Р 1. "Общие сведения"'!H86="","",'Р 1. "Общие сведения"'!H86)</f>
        <v/>
      </c>
      <c r="D85" s="17" t="str">
        <f>IF('Р 1. "Общие сведения"'!D86="","",'Р 1. "Общие сведения"'!D86)</f>
        <v/>
      </c>
      <c r="E85" s="17" t="str">
        <f>IF('Р 1. "Общие сведения"'!K86="","",'Р 1. "Общие сведения"'!K86)</f>
        <v/>
      </c>
      <c r="F85" s="18" t="str">
        <f>IF(OR(Таблица26[[#This Row],[Столбец1]]="",Таблица26[[#This Row],[Столбец5]]="",),"",VLOOKUP(A85,Таблица9[#All],2,FALSE))</f>
        <v/>
      </c>
      <c r="G85" s="21" t="str">
        <f>IF(OR(Таблица26[[#This Row],[Столбец1]]="",Таблица26[[#This Row],[Столбец5]]=""),"",VLOOKUP(A85,'Р 5. Финансирование'!$A$9:$D$89,3,FALSE))</f>
        <v/>
      </c>
      <c r="H85" s="21" t="str">
        <f>IF(OR(Таблица26[[#This Row],[Столбец1]]="",Таблица26[[#This Row],[Столбец5]]=""),"",VLOOKUP(A85,'Р 5. Финансирование'!$A$9:$D$89,4,FALSE))</f>
        <v/>
      </c>
      <c r="I85" s="22" t="str">
        <f>IF(OR(Таблица26[[#This Row],[Столбец5]]="отсутствует",Таблица26[[#This Row],[Столбец5]]=""),"",VLOOKUP(A85,'Р 4. Показатели_индикаторы'!$A$9:$J$103,3,FALSE))</f>
        <v/>
      </c>
      <c r="J85" s="22" t="str">
        <f>IF(OR(Таблица26[[#This Row],[Столбец5]]="отсутствует",Таблица26[[#This Row],[Столбец5]]=""),"",VLOOKUP(A85,'Р 4. Показатели_индикаторы'!$A$9:$J$103,4,FALSE))</f>
        <v/>
      </c>
      <c r="K85" s="22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Показатели_индикаторы'!$A$9:$J$103,5,FALSE))</f>
        <v/>
      </c>
      <c r="L85" s="22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Показатели_индикаторы'!$A$9:$J$103,6,FALSE))</f>
        <v/>
      </c>
      <c r="M85" s="22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Показатели_индикаторы'!$A$9:$J$103,7,FALSE))</f>
        <v/>
      </c>
      <c r="N85" s="22" t="str">
        <f>IF(OR(Таблица26[[#This Row],[Столбец1]]="",Таблица26[[#This Row],[Столбец5]]="",Таблица26[[#This Row],[Столбец5]]="отсутствует"),"",VLOOKUP(A85,'Р 4. Показатели_индикаторы'!$A$9:$J$103,8,FALSE))</f>
        <v/>
      </c>
      <c r="O85" s="24" t="str">
        <f>IF(VLOOKUP(A85,'Р 1. "Общие сведения"'!$I$8:$L$180,4,FALSE)="","",VLOOKUP(A85,'Р 1. "Общие сведения"'!$I$8:$L$180,4,FALSE))</f>
        <v/>
      </c>
    </row>
    <row r="86">
      <c r="A86" s="16" t="str">
        <f>IF('Р 1. "Общие сведения"'!I87="","",'Р 1. "Общие сведения"'!I87)</f>
        <v xml:space="preserve"> </v>
      </c>
      <c r="B86" s="17" t="str">
        <f>IF('Р 1. "Общие сведения"'!J87="","",'Р 1. "Общие сведения"'!J87)</f>
        <v/>
      </c>
      <c r="C86" s="17" t="str">
        <f>IF('Р 1. "Общие сведения"'!H87="","",'Р 1. "Общие сведения"'!H87)</f>
        <v/>
      </c>
      <c r="D86" s="17" t="str">
        <f>IF('Р 1. "Общие сведения"'!D87="","",'Р 1. "Общие сведения"'!D87)</f>
        <v/>
      </c>
      <c r="E86" s="17" t="str">
        <f>IF('Р 1. "Общие сведения"'!K87="","",'Р 1. "Общие сведения"'!K87)</f>
        <v/>
      </c>
      <c r="F86" s="18" t="str">
        <f>IF(OR(Таблица26[[#This Row],[Столбец1]]="",Таблица26[[#This Row],[Столбец5]]="",),"",VLOOKUP(A86,Таблица9[#All],2,FALSE))</f>
        <v/>
      </c>
      <c r="G86" s="21" t="str">
        <f>IF(OR(Таблица26[[#This Row],[Столбец1]]="",Таблица26[[#This Row],[Столбец5]]=""),"",VLOOKUP(A86,'Р 5. Финансирование'!$A$9:$D$89,3,FALSE))</f>
        <v/>
      </c>
      <c r="H86" s="21" t="str">
        <f>IF(OR(Таблица26[[#This Row],[Столбец1]]="",Таблица26[[#This Row],[Столбец5]]=""),"",VLOOKUP(A86,'Р 5. Финансирование'!$A$9:$D$89,4,FALSE))</f>
        <v/>
      </c>
      <c r="I86" s="22" t="str">
        <f>IF(OR(Таблица26[[#This Row],[Столбец5]]="отсутствует",Таблица26[[#This Row],[Столбец5]]=""),"",VLOOKUP(A86,'Р 4. Показатели_индикаторы'!$A$9:$J$103,3,FALSE))</f>
        <v/>
      </c>
      <c r="J86" s="22" t="str">
        <f>IF(OR(Таблица26[[#This Row],[Столбец5]]="отсутствует",Таблица26[[#This Row],[Столбец5]]=""),"",VLOOKUP(A86,'Р 4. Показатели_индикаторы'!$A$9:$J$103,4,FALSE))</f>
        <v/>
      </c>
      <c r="K86" s="22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Показатели_индикаторы'!$A$9:$J$103,5,FALSE))</f>
        <v/>
      </c>
      <c r="L86" s="22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Показатели_индикаторы'!$A$9:$J$103,6,FALSE))</f>
        <v/>
      </c>
      <c r="M86" s="22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Показатели_индикаторы'!$A$9:$J$103,7,FALSE))</f>
        <v/>
      </c>
      <c r="N86" s="22" t="str">
        <f>IF(OR(Таблица26[[#This Row],[Столбец1]]="",Таблица26[[#This Row],[Столбец5]]="",Таблица26[[#This Row],[Столбец5]]="отсутствует"),"",VLOOKUP(A86,'Р 4. Показатели_индикаторы'!$A$9:$J$103,8,FALSE))</f>
        <v/>
      </c>
      <c r="O86" s="24" t="str">
        <f>IF(VLOOKUP(A86,'Р 1. "Общие сведения"'!$I$8:$L$180,4,FALSE)="","",VLOOKUP(A86,'Р 1. "Общие сведения"'!$I$8:$L$180,4,FALSE))</f>
        <v/>
      </c>
    </row>
    <row r="87">
      <c r="A87" s="16" t="str">
        <f>IF('Р 1. "Общие сведения"'!I88="","",'Р 1. "Общие сведения"'!I88)</f>
        <v xml:space="preserve"> </v>
      </c>
      <c r="B87" s="17" t="str">
        <f>IF('Р 1. "Общие сведения"'!J88="","",'Р 1. "Общие сведения"'!J88)</f>
        <v/>
      </c>
      <c r="C87" s="17" t="str">
        <f>IF('Р 1. "Общие сведения"'!H88="","",'Р 1. "Общие сведения"'!H88)</f>
        <v/>
      </c>
      <c r="D87" s="17" t="str">
        <f>IF('Р 1. "Общие сведения"'!D88="","",'Р 1. "Общие сведения"'!D88)</f>
        <v/>
      </c>
      <c r="E87" s="17" t="str">
        <f>IF('Р 1. "Общие сведения"'!K88="","",'Р 1. "Общие сведения"'!K88)</f>
        <v/>
      </c>
      <c r="F87" s="18" t="str">
        <f>IF(OR(Таблица26[[#This Row],[Столбец1]]="",Таблица26[[#This Row],[Столбец5]]="",),"",VLOOKUP(A87,Таблица9[#All],2,FALSE))</f>
        <v/>
      </c>
      <c r="G87" s="21" t="str">
        <f>IF(OR(Таблица26[[#This Row],[Столбец1]]="",Таблица26[[#This Row],[Столбец5]]=""),"",VLOOKUP(A87,'Р 5. Финансирование'!$A$9:$D$89,3,FALSE))</f>
        <v/>
      </c>
      <c r="H87" s="21" t="str">
        <f>IF(OR(Таблица26[[#This Row],[Столбец1]]="",Таблица26[[#This Row],[Столбец5]]=""),"",VLOOKUP(A87,'Р 5. Финансирование'!$A$9:$D$89,4,FALSE))</f>
        <v/>
      </c>
      <c r="I87" s="22" t="str">
        <f>IF(OR(Таблица26[[#This Row],[Столбец5]]="отсутствует",Таблица26[[#This Row],[Столбец5]]=""),"",VLOOKUP(A87,'Р 4. Показатели_индикаторы'!$A$9:$J$103,3,FALSE))</f>
        <v/>
      </c>
      <c r="J87" s="22" t="str">
        <f>IF(OR(Таблица26[[#This Row],[Столбец5]]="отсутствует",Таблица26[[#This Row],[Столбец5]]=""),"",VLOOKUP(A87,'Р 4. Показатели_индикаторы'!$A$9:$J$103,4,FALSE))</f>
        <v/>
      </c>
      <c r="K87" s="22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Показатели_индикаторы'!$A$9:$J$103,5,FALSE))</f>
        <v/>
      </c>
      <c r="L87" s="22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Показатели_индикаторы'!$A$9:$J$103,6,FALSE))</f>
        <v/>
      </c>
      <c r="M87" s="22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Показатели_индикаторы'!$A$9:$J$103,7,FALSE))</f>
        <v/>
      </c>
      <c r="N87" s="22" t="str">
        <f>IF(OR(Таблица26[[#This Row],[Столбец1]]="",Таблица26[[#This Row],[Столбец5]]="",Таблица26[[#This Row],[Столбец5]]="отсутствует"),"",VLOOKUP(A87,'Р 4. Показатели_индикаторы'!$A$9:$J$103,8,FALSE))</f>
        <v/>
      </c>
      <c r="O87" s="24" t="str">
        <f>IF(VLOOKUP(A87,'Р 1. "Общие сведения"'!$I$8:$L$180,4,FALSE)="","",VLOOKUP(A87,'Р 1. "Общие сведения"'!$I$8:$L$180,4,FALSE))</f>
        <v/>
      </c>
    </row>
    <row r="88">
      <c r="A88" s="16" t="str">
        <f>IF('Р 1. "Общие сведения"'!I89="","",'Р 1. "Общие сведения"'!I89)</f>
        <v xml:space="preserve"> </v>
      </c>
      <c r="B88" s="17" t="str">
        <f>IF('Р 1. "Общие сведения"'!J89="","",'Р 1. "Общие сведения"'!J89)</f>
        <v/>
      </c>
      <c r="C88" s="17" t="str">
        <f>IF('Р 1. "Общие сведения"'!H89="","",'Р 1. "Общие сведения"'!H89)</f>
        <v/>
      </c>
      <c r="D88" s="17" t="str">
        <f>IF('Р 1. "Общие сведения"'!D89="","",'Р 1. "Общие сведения"'!D89)</f>
        <v/>
      </c>
      <c r="E88" s="17" t="str">
        <f>IF('Р 1. "Общие сведения"'!K89="","",'Р 1. "Общие сведения"'!K89)</f>
        <v/>
      </c>
      <c r="F88" s="18" t="str">
        <f>IF(OR(Таблица26[[#This Row],[Столбец1]]="",Таблица26[[#This Row],[Столбец5]]="",),"",VLOOKUP(A88,Таблица9[#All],2,FALSE))</f>
        <v/>
      </c>
      <c r="G88" s="21" t="str">
        <f>IF(OR(Таблица26[[#This Row],[Столбец1]]="",Таблица26[[#This Row],[Столбец5]]=""),"",VLOOKUP(A88,'Р 5. Финансирование'!$A$9:$D$89,3,FALSE))</f>
        <v/>
      </c>
      <c r="H88" s="21" t="str">
        <f>IF(OR(Таблица26[[#This Row],[Столбец1]]="",Таблица26[[#This Row],[Столбец5]]=""),"",VLOOKUP(A88,'Р 5. Финансирование'!$A$9:$D$89,4,FALSE))</f>
        <v/>
      </c>
      <c r="I88" s="22" t="str">
        <f>IF(OR(Таблица26[[#This Row],[Столбец5]]="отсутствует",Таблица26[[#This Row],[Столбец5]]=""),"",VLOOKUP(A88,'Р 4. Показатели_индикаторы'!$A$9:$J$103,3,FALSE))</f>
        <v/>
      </c>
      <c r="J88" s="22" t="str">
        <f>IF(OR(Таблица26[[#This Row],[Столбец5]]="отсутствует",Таблица26[[#This Row],[Столбец5]]=""),"",VLOOKUP(A88,'Р 4. Показатели_индикаторы'!$A$9:$J$103,4,FALSE))</f>
        <v/>
      </c>
      <c r="K88" s="22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Показатели_индикаторы'!$A$9:$J$103,5,FALSE))</f>
        <v/>
      </c>
      <c r="L88" s="22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Показатели_индикаторы'!$A$9:$J$103,6,FALSE))</f>
        <v/>
      </c>
      <c r="M88" s="22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Показатели_индикаторы'!$A$9:$J$103,7,FALSE))</f>
        <v/>
      </c>
      <c r="N88" s="22" t="str">
        <f>IF(OR(Таблица26[[#This Row],[Столбец1]]="",Таблица26[[#This Row],[Столбец5]]="",Таблица26[[#This Row],[Столбец5]]="отсутствует"),"",VLOOKUP(A88,'Р 4. Показатели_индикаторы'!$A$9:$J$103,8,FALSE))</f>
        <v/>
      </c>
      <c r="O88" s="24" t="str">
        <f>IF(VLOOKUP(A88,'Р 1. "Общие сведения"'!$I$8:$L$180,4,FALSE)="","",VLOOKUP(A88,'Р 1. "Общие сведения"'!$I$8:$L$180,4,FALSE))</f>
        <v/>
      </c>
    </row>
    <row r="89">
      <c r="A89" s="16" t="str">
        <f>IF('Р 1. "Общие сведения"'!I90="","",'Р 1. "Общие сведения"'!I90)</f>
        <v xml:space="preserve"> </v>
      </c>
      <c r="B89" s="17" t="str">
        <f>IF('Р 1. "Общие сведения"'!J90="","",'Р 1. "Общие сведения"'!J90)</f>
        <v/>
      </c>
      <c r="C89" s="17" t="str">
        <f>IF('Р 1. "Общие сведения"'!H90="","",'Р 1. "Общие сведения"'!H90)</f>
        <v/>
      </c>
      <c r="D89" s="17" t="str">
        <f>IF('Р 1. "Общие сведения"'!D90="","",'Р 1. "Общие сведения"'!D90)</f>
        <v/>
      </c>
      <c r="E89" s="17" t="str">
        <f>IF('Р 1. "Общие сведения"'!K90="","",'Р 1. "Общие сведения"'!K90)</f>
        <v/>
      </c>
      <c r="F89" s="18" t="str">
        <f>IF(OR(Таблица26[[#This Row],[Столбец1]]="",Таблица26[[#This Row],[Столбец5]]="",),"",VLOOKUP(A89,Таблица9[#All],2,FALSE))</f>
        <v/>
      </c>
      <c r="G89" s="21" t="str">
        <f>IF(OR(Таблица26[[#This Row],[Столбец1]]="",Таблица26[[#This Row],[Столбец5]]=""),"",VLOOKUP(A89,'Р 5. Финансирование'!$A$9:$D$89,3,FALSE))</f>
        <v/>
      </c>
      <c r="H89" s="21" t="str">
        <f>IF(OR(Таблица26[[#This Row],[Столбец1]]="",Таблица26[[#This Row],[Столбец5]]=""),"",VLOOKUP(A89,'Р 5. Финансирование'!$A$9:$D$89,4,FALSE))</f>
        <v/>
      </c>
      <c r="I89" s="22" t="str">
        <f>IF(OR(Таблица26[[#This Row],[Столбец5]]="отсутствует",Таблица26[[#This Row],[Столбец5]]=""),"",VLOOKUP(A89,'Р 4. Показатели_индикаторы'!$A$9:$J$103,3,FALSE))</f>
        <v/>
      </c>
      <c r="J89" s="22" t="str">
        <f>IF(OR(Таблица26[[#This Row],[Столбец5]]="отсутствует",Таблица26[[#This Row],[Столбец5]]=""),"",VLOOKUP(A89,'Р 4. Показатели_индикаторы'!$A$9:$J$103,4,FALSE))</f>
        <v/>
      </c>
      <c r="K89" s="22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Показатели_индикаторы'!$A$9:$J$103,5,FALSE))</f>
        <v/>
      </c>
      <c r="L89" s="22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Показатели_индикаторы'!$A$9:$J$103,6,FALSE))</f>
        <v/>
      </c>
      <c r="M89" s="22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Показатели_индикаторы'!$A$9:$J$103,7,FALSE))</f>
        <v/>
      </c>
      <c r="N89" s="22" t="str">
        <f>IF(OR(Таблица26[[#This Row],[Столбец1]]="",Таблица26[[#This Row],[Столбец5]]="",Таблица26[[#This Row],[Столбец5]]="отсутствует"),"",VLOOKUP(A89,'Р 4. Показатели_индикаторы'!$A$9:$J$103,8,FALSE))</f>
        <v/>
      </c>
      <c r="O89" s="24" t="str">
        <f>IF(VLOOKUP(A89,'Р 1. "Общие сведения"'!$I$8:$L$180,4,FALSE)="","",VLOOKUP(A89,'Р 1. "Общие сведения"'!$I$8:$L$180,4,FALSE))</f>
        <v/>
      </c>
    </row>
    <row r="90">
      <c r="A90" s="16" t="str">
        <f>IF('Р 1. "Общие сведения"'!I91="","",'Р 1. "Общие сведения"'!I91)</f>
        <v xml:space="preserve"> </v>
      </c>
      <c r="B90" s="17" t="str">
        <f>IF('Р 1. "Общие сведения"'!J91="","",'Р 1. "Общие сведения"'!J91)</f>
        <v/>
      </c>
      <c r="C90" s="17" t="str">
        <f>IF('Р 1. "Общие сведения"'!H91="","",'Р 1. "Общие сведения"'!H91)</f>
        <v/>
      </c>
      <c r="D90" s="17" t="str">
        <f>IF('Р 1. "Общие сведения"'!D91="","",'Р 1. "Общие сведения"'!D91)</f>
        <v/>
      </c>
      <c r="E90" s="17" t="str">
        <f>IF('Р 1. "Общие сведения"'!K91="","",'Р 1. "Общие сведения"'!K91)</f>
        <v/>
      </c>
      <c r="F90" s="18" t="str">
        <f>IF(OR(Таблица26[[#This Row],[Столбец1]]="",Таблица26[[#This Row],[Столбец5]]="",),"",VLOOKUP(A90,Таблица9[#All],2,FALSE))</f>
        <v/>
      </c>
      <c r="G90" s="21" t="str">
        <f>IF(OR(Таблица26[[#This Row],[Столбец1]]="",Таблица26[[#This Row],[Столбец5]]=""),"",VLOOKUP(A90,'Р 5. Финансирование'!$A$9:$D$89,3,FALSE))</f>
        <v/>
      </c>
      <c r="H90" s="21" t="str">
        <f>IF(OR(Таблица26[[#This Row],[Столбец1]]="",Таблица26[[#This Row],[Столбец5]]=""),"",VLOOKUP(A90,'Р 5. Финансирование'!$A$9:$D$89,4,FALSE))</f>
        <v/>
      </c>
      <c r="I90" s="22" t="str">
        <f>IF(OR(Таблица26[[#This Row],[Столбец5]]="отсутствует",Таблица26[[#This Row],[Столбец5]]=""),"",VLOOKUP(A90,'Р 4. Показатели_индикаторы'!$A$9:$J$103,3,FALSE))</f>
        <v/>
      </c>
      <c r="J90" s="22" t="str">
        <f>IF(OR(Таблица26[[#This Row],[Столбец5]]="отсутствует",Таблица26[[#This Row],[Столбец5]]=""),"",VLOOKUP(A90,'Р 4. Показатели_индикаторы'!$A$9:$J$103,4,FALSE))</f>
        <v/>
      </c>
      <c r="K90" s="22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Показатели_индикаторы'!$A$9:$J$103,5,FALSE))</f>
        <v/>
      </c>
      <c r="L90" s="22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Показатели_индикаторы'!$A$9:$J$103,6,FALSE))</f>
        <v/>
      </c>
      <c r="M90" s="22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Показатели_индикаторы'!$A$9:$J$103,7,FALSE))</f>
        <v/>
      </c>
      <c r="N90" s="22" t="str">
        <f>IF(OR(Таблица26[[#This Row],[Столбец1]]="",Таблица26[[#This Row],[Столбец5]]="",Таблица26[[#This Row],[Столбец5]]="отсутствует"),"",VLOOKUP(A90,'Р 4. Показатели_индикаторы'!$A$9:$J$103,8,FALSE))</f>
        <v/>
      </c>
      <c r="O90" s="24" t="str">
        <f>IF(VLOOKUP(A90,'Р 1. "Общие сведения"'!$I$8:$L$180,4,FALSE)="","",VLOOKUP(A90,'Р 1. "Общие сведения"'!$I$8:$L$180,4,FALSE))</f>
        <v/>
      </c>
    </row>
    <row r="91">
      <c r="A91" s="16" t="str">
        <f>IF('Р 1. "Общие сведения"'!I92="","",'Р 1. "Общие сведения"'!I92)</f>
        <v xml:space="preserve"> </v>
      </c>
      <c r="B91" s="17" t="str">
        <f>IF('Р 1. "Общие сведения"'!J92="","",'Р 1. "Общие сведения"'!J92)</f>
        <v/>
      </c>
      <c r="C91" s="17" t="str">
        <f>IF('Р 1. "Общие сведения"'!H92="","",'Р 1. "Общие сведения"'!H92)</f>
        <v/>
      </c>
      <c r="D91" s="17" t="str">
        <f>IF('Р 1. "Общие сведения"'!D92="","",'Р 1. "Общие сведения"'!D92)</f>
        <v/>
      </c>
      <c r="E91" s="17" t="str">
        <f>IF('Р 1. "Общие сведения"'!K92="","",'Р 1. "Общие сведения"'!K92)</f>
        <v/>
      </c>
      <c r="F91" s="18" t="str">
        <f>IF(OR(Таблица26[[#This Row],[Столбец1]]="",Таблица26[[#This Row],[Столбец5]]="",),"",VLOOKUP(A91,Таблица9[#All],2,FALSE))</f>
        <v/>
      </c>
      <c r="G91" s="21" t="str">
        <f>IF(OR(Таблица26[[#This Row],[Столбец1]]="",Таблица26[[#This Row],[Столбец5]]=""),"",VLOOKUP(A91,'Р 5. Финансирование'!$A$9:$D$89,3,FALSE))</f>
        <v/>
      </c>
      <c r="H91" s="21" t="str">
        <f>IF(OR(Таблица26[[#This Row],[Столбец1]]="",Таблица26[[#This Row],[Столбец5]]=""),"",VLOOKUP(A91,'Р 5. Финансирование'!$A$9:$D$89,4,FALSE))</f>
        <v/>
      </c>
      <c r="I91" s="22" t="str">
        <f>IF(OR(Таблица26[[#This Row],[Столбец5]]="отсутствует",Таблица26[[#This Row],[Столбец5]]=""),"",VLOOKUP(A91,'Р 4. Показатели_индикаторы'!$A$9:$J$103,3,FALSE))</f>
        <v/>
      </c>
      <c r="J91" s="22" t="str">
        <f>IF(OR(Таблица26[[#This Row],[Столбец5]]="отсутствует",Таблица26[[#This Row],[Столбец5]]=""),"",VLOOKUP(A91,'Р 4. Показатели_индикаторы'!$A$9:$J$103,4,FALSE))</f>
        <v/>
      </c>
      <c r="K91" s="22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Показатели_индикаторы'!$A$9:$J$103,5,FALSE))</f>
        <v/>
      </c>
      <c r="L91" s="22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Показатели_индикаторы'!$A$9:$J$103,6,FALSE))</f>
        <v/>
      </c>
      <c r="M91" s="22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Показатели_индикаторы'!$A$9:$J$103,7,FALSE))</f>
        <v/>
      </c>
      <c r="N91" s="22" t="str">
        <f>IF(OR(Таблица26[[#This Row],[Столбец1]]="",Таблица26[[#This Row],[Столбец5]]="",Таблица26[[#This Row],[Столбец5]]="отсутствует"),"",VLOOKUP(A91,'Р 4. Показатели_индикаторы'!$A$9:$J$103,8,FALSE))</f>
        <v/>
      </c>
      <c r="O91" s="24" t="str">
        <f>IF(VLOOKUP(A91,'Р 1. "Общие сведения"'!$I$8:$L$180,4,FALSE)="","",VLOOKUP(A91,'Р 1. "Общие сведения"'!$I$8:$L$180,4,FALSE))</f>
        <v/>
      </c>
    </row>
    <row r="92">
      <c r="A92" s="16" t="str">
        <f>IF('Р 1. "Общие сведения"'!I93="","",'Р 1. "Общие сведения"'!I93)</f>
        <v xml:space="preserve"> </v>
      </c>
      <c r="B92" s="17" t="str">
        <f>IF('Р 1. "Общие сведения"'!J93="","",'Р 1. "Общие сведения"'!J93)</f>
        <v/>
      </c>
      <c r="C92" s="17" t="str">
        <f>IF('Р 1. "Общие сведения"'!H93="","",'Р 1. "Общие сведения"'!H93)</f>
        <v/>
      </c>
      <c r="D92" s="17" t="str">
        <f>IF('Р 1. "Общие сведения"'!D93="","",'Р 1. "Общие сведения"'!D93)</f>
        <v/>
      </c>
      <c r="E92" s="17" t="str">
        <f>IF('Р 1. "Общие сведения"'!K93="","",'Р 1. "Общие сведения"'!K93)</f>
        <v/>
      </c>
      <c r="F92" s="18" t="str">
        <f>IF(OR(Таблица26[[#This Row],[Столбец1]]="",Таблица26[[#This Row],[Столбец5]]="",),"",VLOOKUP(A92,Таблица9[#All],2,FALSE))</f>
        <v/>
      </c>
      <c r="G92" s="21" t="str">
        <f>IF(OR(Таблица26[[#This Row],[Столбец1]]="",Таблица26[[#This Row],[Столбец5]]=""),"",VLOOKUP(A92,'Р 5. Финансирование'!$A$9:$D$89,3,FALSE))</f>
        <v/>
      </c>
      <c r="H92" s="21" t="str">
        <f>IF(OR(Таблица26[[#This Row],[Столбец1]]="",Таблица26[[#This Row],[Столбец5]]=""),"",VLOOKUP(A92,'Р 5. Финансирование'!$A$9:$D$89,4,FALSE))</f>
        <v/>
      </c>
      <c r="I92" s="22" t="str">
        <f>IF(OR(Таблица26[[#This Row],[Столбец5]]="отсутствует",Таблица26[[#This Row],[Столбец5]]=""),"",VLOOKUP(A92,'Р 4. Показатели_индикаторы'!$A$9:$J$103,3,FALSE))</f>
        <v/>
      </c>
      <c r="J92" s="22" t="str">
        <f>IF(OR(Таблица26[[#This Row],[Столбец5]]="отсутствует",Таблица26[[#This Row],[Столбец5]]=""),"",VLOOKUP(A92,'Р 4. Показатели_индикаторы'!$A$9:$J$103,4,FALSE))</f>
        <v/>
      </c>
      <c r="K92" s="22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Показатели_индикаторы'!$A$9:$J$103,5,FALSE))</f>
        <v/>
      </c>
      <c r="L92" s="22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Показатели_индикаторы'!$A$9:$J$103,6,FALSE))</f>
        <v/>
      </c>
      <c r="M92" s="22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Показатели_индикаторы'!$A$9:$J$103,7,FALSE))</f>
        <v/>
      </c>
      <c r="N92" s="22" t="str">
        <f>IF(OR(Таблица26[[#This Row],[Столбец1]]="",Таблица26[[#This Row],[Столбец5]]="",Таблица26[[#This Row],[Столбец5]]="отсутствует"),"",VLOOKUP(A92,'Р 4. Показатели_индикаторы'!$A$9:$J$103,8,FALSE))</f>
        <v/>
      </c>
      <c r="O92" s="24" t="str">
        <f>IF(VLOOKUP(A92,'Р 1. "Общие сведения"'!$I$8:$L$180,4,FALSE)="","",VLOOKUP(A92,'Р 1. "Общие сведения"'!$I$8:$L$180,4,FALSE))</f>
        <v/>
      </c>
    </row>
    <row r="93">
      <c r="A93" s="16" t="str">
        <f>IF('Р 1. "Общие сведения"'!I94="","",'Р 1. "Общие сведения"'!I94)</f>
        <v xml:space="preserve"> </v>
      </c>
      <c r="B93" s="17" t="str">
        <f>IF('Р 1. "Общие сведения"'!J94="","",'Р 1. "Общие сведения"'!J94)</f>
        <v/>
      </c>
      <c r="C93" s="17" t="str">
        <f>IF('Р 1. "Общие сведения"'!H94="","",'Р 1. "Общие сведения"'!H94)</f>
        <v/>
      </c>
      <c r="D93" s="17" t="str">
        <f>IF('Р 1. "Общие сведения"'!D94="","",'Р 1. "Общие сведения"'!D94)</f>
        <v/>
      </c>
      <c r="E93" s="17" t="str">
        <f>IF('Р 1. "Общие сведения"'!K94="","",'Р 1. "Общие сведения"'!K94)</f>
        <v/>
      </c>
      <c r="F93" s="18" t="str">
        <f>IF(OR(Таблица26[[#This Row],[Столбец1]]="",Таблица26[[#This Row],[Столбец5]]="",),"",VLOOKUP(A93,Таблица9[#All],2,FALSE))</f>
        <v/>
      </c>
      <c r="G93" s="21" t="str">
        <f>IF(OR(Таблица26[[#This Row],[Столбец1]]="",Таблица26[[#This Row],[Столбец5]]=""),"",VLOOKUP(A93,'Р 5. Финансирование'!$A$9:$D$89,3,FALSE))</f>
        <v/>
      </c>
      <c r="H93" s="21" t="str">
        <f>IF(OR(Таблица26[[#This Row],[Столбец1]]="",Таблица26[[#This Row],[Столбец5]]=""),"",VLOOKUP(A93,'Р 5. Финансирование'!$A$9:$D$89,4,FALSE))</f>
        <v/>
      </c>
      <c r="I93" s="22" t="str">
        <f>IF(OR(Таблица26[[#This Row],[Столбец5]]="отсутствует",Таблица26[[#This Row],[Столбец5]]=""),"",VLOOKUP(A93,'Р 4. Показатели_индикаторы'!$A$9:$J$103,3,FALSE))</f>
        <v/>
      </c>
      <c r="J93" s="22" t="str">
        <f>IF(OR(Таблица26[[#This Row],[Столбец5]]="отсутствует",Таблица26[[#This Row],[Столбец5]]=""),"",VLOOKUP(A93,'Р 4. Показатели_индикаторы'!$A$9:$J$103,4,FALSE))</f>
        <v/>
      </c>
      <c r="K93" s="22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Показатели_индикаторы'!$A$9:$J$103,5,FALSE))</f>
        <v/>
      </c>
      <c r="L93" s="22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Показатели_индикаторы'!$A$9:$J$103,6,FALSE))</f>
        <v/>
      </c>
      <c r="M93" s="22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Показатели_индикаторы'!$A$9:$J$103,7,FALSE))</f>
        <v/>
      </c>
      <c r="N93" s="22" t="str">
        <f>IF(OR(Таблица26[[#This Row],[Столбец1]]="",Таблица26[[#This Row],[Столбец5]]="",Таблица26[[#This Row],[Столбец5]]="отсутствует"),"",VLOOKUP(A93,'Р 4. Показатели_индикаторы'!$A$9:$J$103,8,FALSE))</f>
        <v/>
      </c>
      <c r="O93" s="24" t="str">
        <f>IF(VLOOKUP(A93,'Р 1. "Общие сведения"'!$I$8:$L$180,4,FALSE)="","",VLOOKUP(A93,'Р 1. "Общие сведения"'!$I$8:$L$180,4,FALSE))</f>
        <v/>
      </c>
    </row>
    <row r="94">
      <c r="A94" s="16" t="str">
        <f>IF('Р 1. "Общие сведения"'!I95="","",'Р 1. "Общие сведения"'!I95)</f>
        <v xml:space="preserve"> </v>
      </c>
      <c r="B94" s="17" t="str">
        <f>IF('Р 1. "Общие сведения"'!J95="","",'Р 1. "Общие сведения"'!J95)</f>
        <v/>
      </c>
      <c r="C94" s="17" t="str">
        <f>IF('Р 1. "Общие сведения"'!H95="","",'Р 1. "Общие сведения"'!H95)</f>
        <v/>
      </c>
      <c r="D94" s="17" t="str">
        <f>IF('Р 1. "Общие сведения"'!D95="","",'Р 1. "Общие сведения"'!D95)</f>
        <v/>
      </c>
      <c r="E94" s="17" t="str">
        <f>IF('Р 1. "Общие сведения"'!K95="","",'Р 1. "Общие сведения"'!K95)</f>
        <v/>
      </c>
      <c r="F94" s="18" t="str">
        <f>IF(OR(Таблица26[[#This Row],[Столбец1]]="",Таблица26[[#This Row],[Столбец5]]="",),"",VLOOKUP(A94,Таблица9[#All],2,FALSE))</f>
        <v/>
      </c>
      <c r="G94" s="21" t="str">
        <f>IF(OR(Таблица26[[#This Row],[Столбец1]]="",Таблица26[[#This Row],[Столбец5]]=""),"",VLOOKUP(A94,'Р 5. Финансирование'!$A$9:$D$89,3,FALSE))</f>
        <v/>
      </c>
      <c r="H94" s="21" t="str">
        <f>IF(OR(Таблица26[[#This Row],[Столбец1]]="",Таблица26[[#This Row],[Столбец5]]=""),"",VLOOKUP(A94,'Р 5. Финансирование'!$A$9:$D$89,4,FALSE))</f>
        <v/>
      </c>
      <c r="I94" s="22" t="str">
        <f>IF(OR(Таблица26[[#This Row],[Столбец5]]="отсутствует",Таблица26[[#This Row],[Столбец5]]=""),"",VLOOKUP(A94,'Р 4. Показатели_индикаторы'!$A$9:$J$103,3,FALSE))</f>
        <v/>
      </c>
      <c r="J94" s="22" t="str">
        <f>IF(OR(Таблица26[[#This Row],[Столбец5]]="отсутствует",Таблица26[[#This Row],[Столбец5]]=""),"",VLOOKUP(A94,'Р 4. Показатели_индикаторы'!$A$9:$J$103,4,FALSE))</f>
        <v/>
      </c>
      <c r="K94" s="22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Показатели_индикаторы'!$A$9:$J$103,5,FALSE))</f>
        <v/>
      </c>
      <c r="L94" s="22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Показатели_индикаторы'!$A$9:$J$103,6,FALSE))</f>
        <v/>
      </c>
      <c r="M94" s="22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Показатели_индикаторы'!$A$9:$J$103,7,FALSE))</f>
        <v/>
      </c>
      <c r="N94" s="22" t="str">
        <f>IF(OR(Таблица26[[#This Row],[Столбец1]]="",Таблица26[[#This Row],[Столбец5]]="",Таблица26[[#This Row],[Столбец5]]="отсутствует"),"",VLOOKUP(A94,'Р 4. Показатели_индикаторы'!$A$9:$J$103,8,FALSE))</f>
        <v/>
      </c>
      <c r="O94" s="24" t="str">
        <f>IF(VLOOKUP(A94,'Р 1. "Общие сведения"'!$I$8:$L$180,4,FALSE)="","",VLOOKUP(A94,'Р 1. "Общие сведения"'!$I$8:$L$180,4,FALSE))</f>
        <v/>
      </c>
    </row>
    <row r="95">
      <c r="A95" s="16" t="str">
        <f>IF('Р 1. "Общие сведения"'!I96="","",'Р 1. "Общие сведения"'!I96)</f>
        <v xml:space="preserve"> </v>
      </c>
      <c r="B95" s="17" t="str">
        <f>IF('Р 1. "Общие сведения"'!J96="","",'Р 1. "Общие сведения"'!J96)</f>
        <v/>
      </c>
      <c r="C95" s="17" t="str">
        <f>IF('Р 1. "Общие сведения"'!H96="","",'Р 1. "Общие сведения"'!H96)</f>
        <v/>
      </c>
      <c r="D95" s="17" t="str">
        <f>IF('Р 1. "Общие сведения"'!D96="","",'Р 1. "Общие сведения"'!D96)</f>
        <v/>
      </c>
      <c r="E95" s="17" t="str">
        <f>IF('Р 1. "Общие сведения"'!K96="","",'Р 1. "Общие сведения"'!K96)</f>
        <v/>
      </c>
      <c r="F95" s="18" t="str">
        <f>IF(OR(Таблица26[[#This Row],[Столбец1]]="",Таблица26[[#This Row],[Столбец5]]="",),"",VLOOKUP(A95,Таблица9[#All],2,FALSE))</f>
        <v/>
      </c>
      <c r="G95" s="21" t="str">
        <f>IF(OR(Таблица26[[#This Row],[Столбец1]]="",Таблица26[[#This Row],[Столбец5]]=""),"",VLOOKUP(A95,'Р 5. Финансирование'!$A$9:$D$89,3,FALSE))</f>
        <v/>
      </c>
      <c r="H95" s="21" t="str">
        <f>IF(OR(Таблица26[[#This Row],[Столбец1]]="",Таблица26[[#This Row],[Столбец5]]=""),"",VLOOKUP(A95,'Р 5. Финансирование'!$A$9:$D$89,4,FALSE))</f>
        <v/>
      </c>
      <c r="I95" s="22" t="str">
        <f>IF(OR(Таблица26[[#This Row],[Столбец5]]="отсутствует",Таблица26[[#This Row],[Столбец5]]=""),"",VLOOKUP(A95,'Р 4. Показатели_индикаторы'!$A$9:$J$103,3,FALSE))</f>
        <v/>
      </c>
      <c r="J95" s="22" t="str">
        <f>IF(OR(Таблица26[[#This Row],[Столбец5]]="отсутствует",Таблица26[[#This Row],[Столбец5]]=""),"",VLOOKUP(A95,'Р 4. Показатели_индикаторы'!$A$9:$J$103,4,FALSE))</f>
        <v/>
      </c>
      <c r="K95" s="22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Показатели_индикаторы'!$A$9:$J$103,5,FALSE))</f>
        <v/>
      </c>
      <c r="L95" s="22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Показатели_индикаторы'!$A$9:$J$103,6,FALSE))</f>
        <v/>
      </c>
      <c r="M95" s="22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Показатели_индикаторы'!$A$9:$J$103,7,FALSE))</f>
        <v/>
      </c>
      <c r="N95" s="22" t="str">
        <f>IF(OR(Таблица26[[#This Row],[Столбец1]]="",Таблица26[[#This Row],[Столбец5]]="",Таблица26[[#This Row],[Столбец5]]="отсутствует"),"",VLOOKUP(A95,'Р 4. Показатели_индикаторы'!$A$9:$J$103,8,FALSE))</f>
        <v/>
      </c>
      <c r="O95" s="24" t="str">
        <f>IF(VLOOKUP(A95,'Р 1. "Общие сведения"'!$I$8:$L$180,4,FALSE)="","",VLOOKUP(A95,'Р 1. "Общие сведения"'!$I$8:$L$180,4,FALSE))</f>
        <v/>
      </c>
    </row>
    <row r="96">
      <c r="A96" s="16" t="str">
        <f>IF('Р 1. "Общие сведения"'!I97="","",'Р 1. "Общие сведения"'!I97)</f>
        <v xml:space="preserve"> </v>
      </c>
      <c r="B96" s="17" t="str">
        <f>IF('Р 1. "Общие сведения"'!J97="","",'Р 1. "Общие сведения"'!J97)</f>
        <v/>
      </c>
      <c r="C96" s="17" t="str">
        <f>IF('Р 1. "Общие сведения"'!H97="","",'Р 1. "Общие сведения"'!H97)</f>
        <v/>
      </c>
      <c r="D96" s="17" t="str">
        <f>IF('Р 1. "Общие сведения"'!D97="","",'Р 1. "Общие сведения"'!D97)</f>
        <v/>
      </c>
      <c r="E96" s="17" t="str">
        <f>IF('Р 1. "Общие сведения"'!K97="","",'Р 1. "Общие сведения"'!K97)</f>
        <v/>
      </c>
      <c r="F96" s="18" t="str">
        <f>IF(OR(Таблица26[[#This Row],[Столбец1]]="",Таблица26[[#This Row],[Столбец5]]="",),"",VLOOKUP(A96,Таблица9[#All],2,FALSE))</f>
        <v/>
      </c>
      <c r="G96" s="21" t="str">
        <f>IF(OR(Таблица26[[#This Row],[Столбец1]]="",Таблица26[[#This Row],[Столбец5]]=""),"",VLOOKUP(A96,'Р 5. Финансирование'!$A$9:$D$89,3,FALSE))</f>
        <v/>
      </c>
      <c r="H96" s="21" t="str">
        <f>IF(OR(Таблица26[[#This Row],[Столбец1]]="",Таблица26[[#This Row],[Столбец5]]=""),"",VLOOKUP(A96,'Р 5. Финансирование'!$A$9:$D$89,4,FALSE))</f>
        <v/>
      </c>
      <c r="I96" s="22" t="str">
        <f>IF(OR(Таблица26[[#This Row],[Столбец5]]="отсутствует",Таблица26[[#This Row],[Столбец5]]=""),"",VLOOKUP(A96,'Р 4. Показатели_индикаторы'!$A$9:$J$103,3,FALSE))</f>
        <v/>
      </c>
      <c r="J96" s="22" t="str">
        <f>IF(OR(Таблица26[[#This Row],[Столбец5]]="отсутствует",Таблица26[[#This Row],[Столбец5]]=""),"",VLOOKUP(A96,'Р 4. Показатели_индикаторы'!$A$9:$J$103,4,FALSE))</f>
        <v/>
      </c>
      <c r="K96" s="22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Показатели_индикаторы'!$A$9:$J$103,5,FALSE))</f>
        <v/>
      </c>
      <c r="L96" s="22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Показатели_индикаторы'!$A$9:$J$103,6,FALSE))</f>
        <v/>
      </c>
      <c r="M96" s="22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Показатели_индикаторы'!$A$9:$J$103,7,FALSE))</f>
        <v/>
      </c>
      <c r="N96" s="22" t="str">
        <f>IF(OR(Таблица26[[#This Row],[Столбец1]]="",Таблица26[[#This Row],[Столбец5]]="",Таблица26[[#This Row],[Столбец5]]="отсутствует"),"",VLOOKUP(A96,'Р 4. Показатели_индикаторы'!$A$9:$J$103,8,FALSE))</f>
        <v/>
      </c>
      <c r="O96" s="24" t="str">
        <f>IF(VLOOKUP(A96,'Р 1. "Общие сведения"'!$I$8:$L$180,4,FALSE)="","",VLOOKUP(A96,'Р 1. "Общие сведения"'!$I$8:$L$180,4,FALSE))</f>
        <v/>
      </c>
    </row>
    <row r="97">
      <c r="A97" s="16" t="str">
        <f>IF('Р 1. "Общие сведения"'!I98="","",'Р 1. "Общие сведения"'!I98)</f>
        <v xml:space="preserve"> </v>
      </c>
      <c r="B97" s="17" t="str">
        <f>IF('Р 1. "Общие сведения"'!J98="","",'Р 1. "Общие сведения"'!J98)</f>
        <v/>
      </c>
      <c r="C97" s="17" t="str">
        <f>IF('Р 1. "Общие сведения"'!H98="","",'Р 1. "Общие сведения"'!H98)</f>
        <v/>
      </c>
      <c r="D97" s="17" t="str">
        <f>IF('Р 1. "Общие сведения"'!D98="","",'Р 1. "Общие сведения"'!D98)</f>
        <v/>
      </c>
      <c r="E97" s="17" t="str">
        <f>IF('Р 1. "Общие сведения"'!K98="","",'Р 1. "Общие сведения"'!K98)</f>
        <v/>
      </c>
      <c r="F97" s="18" t="str">
        <f>IF(OR(Таблица26[[#This Row],[Столбец1]]="",Таблица26[[#This Row],[Столбец5]]="",),"",VLOOKUP(A97,Таблица9[#All],2,FALSE))</f>
        <v/>
      </c>
      <c r="G97" s="21" t="str">
        <f>IF(OR(Таблица26[[#This Row],[Столбец1]]="",Таблица26[[#This Row],[Столбец5]]=""),"",VLOOKUP(A97,'Р 5. Финансирование'!$A$9:$D$89,3,FALSE))</f>
        <v/>
      </c>
      <c r="H97" s="21" t="str">
        <f>IF(OR(Таблица26[[#This Row],[Столбец1]]="",Таблица26[[#This Row],[Столбец5]]=""),"",VLOOKUP(A97,'Р 5. Финансирование'!$A$9:$D$89,4,FALSE))</f>
        <v/>
      </c>
      <c r="I97" s="22" t="str">
        <f>IF(OR(Таблица26[[#This Row],[Столбец5]]="отсутствует",Таблица26[[#This Row],[Столбец5]]=""),"",VLOOKUP(A97,'Р 4. Показатели_индикаторы'!$A$9:$J$103,3,FALSE))</f>
        <v/>
      </c>
      <c r="J97" s="22" t="str">
        <f>IF(OR(Таблица26[[#This Row],[Столбец5]]="отсутствует",Таблица26[[#This Row],[Столбец5]]=""),"",VLOOKUP(A97,'Р 4. Показатели_индикаторы'!$A$9:$J$103,4,FALSE))</f>
        <v/>
      </c>
      <c r="K97" s="22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Показатели_индикаторы'!$A$9:$J$103,5,FALSE))</f>
        <v/>
      </c>
      <c r="L97" s="22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Показатели_индикаторы'!$A$9:$J$103,6,FALSE))</f>
        <v/>
      </c>
      <c r="M97" s="22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Показатели_индикаторы'!$A$9:$J$103,7,FALSE))</f>
        <v/>
      </c>
      <c r="N97" s="22" t="str">
        <f>IF(OR(Таблица26[[#This Row],[Столбец1]]="",Таблица26[[#This Row],[Столбец5]]="",Таблица26[[#This Row],[Столбец5]]="отсутствует"),"",VLOOKUP(A97,'Р 4. Показатели_индикаторы'!$A$9:$J$103,8,FALSE))</f>
        <v/>
      </c>
      <c r="O97" s="24" t="str">
        <f>IF(VLOOKUP(A97,'Р 1. "Общие сведения"'!$I$8:$L$180,4,FALSE)="","",VLOOKUP(A97,'Р 1. "Общие сведения"'!$I$8:$L$180,4,FALSE))</f>
        <v/>
      </c>
    </row>
    <row r="98">
      <c r="A98" s="16" t="str">
        <f>IF('Р 1. "Общие сведения"'!I99="","",'Р 1. "Общие сведения"'!I99)</f>
        <v xml:space="preserve"> </v>
      </c>
      <c r="B98" s="17" t="str">
        <f>IF('Р 1. "Общие сведения"'!J99="","",'Р 1. "Общие сведения"'!J99)</f>
        <v/>
      </c>
      <c r="C98" s="17" t="str">
        <f>IF('Р 1. "Общие сведения"'!H99="","",'Р 1. "Общие сведения"'!H99)</f>
        <v/>
      </c>
      <c r="D98" s="17" t="str">
        <f>IF('Р 1. "Общие сведения"'!D99="","",'Р 1. "Общие сведения"'!D99)</f>
        <v/>
      </c>
      <c r="E98" s="17" t="str">
        <f>IF('Р 1. "Общие сведения"'!K99="","",'Р 1. "Общие сведения"'!K99)</f>
        <v/>
      </c>
      <c r="F98" s="18" t="str">
        <f>IF(OR(Таблица26[[#This Row],[Столбец1]]="",Таблица26[[#This Row],[Столбец5]]="",),"",VLOOKUP(A98,Таблица9[#All],2,FALSE))</f>
        <v/>
      </c>
      <c r="G98" s="21" t="str">
        <f>IF(OR(Таблица26[[#This Row],[Столбец1]]="",Таблица26[[#This Row],[Столбец5]]=""),"",VLOOKUP(A98,'Р 5. Финансирование'!$A$9:$D$89,3,FALSE))</f>
        <v/>
      </c>
      <c r="H98" s="21" t="str">
        <f>IF(OR(Таблица26[[#This Row],[Столбец1]]="",Таблица26[[#This Row],[Столбец5]]=""),"",VLOOKUP(A98,'Р 5. Финансирование'!$A$9:$D$89,4,FALSE))</f>
        <v/>
      </c>
      <c r="I98" s="22" t="str">
        <f>IF(OR(Таблица26[[#This Row],[Столбец5]]="отсутствует",Таблица26[[#This Row],[Столбец5]]=""),"",VLOOKUP(A98,'Р 4. Показатели_индикаторы'!$A$9:$J$103,3,FALSE))</f>
        <v/>
      </c>
      <c r="J98" s="22" t="str">
        <f>IF(OR(Таблица26[[#This Row],[Столбец5]]="отсутствует",Таблица26[[#This Row],[Столбец5]]=""),"",VLOOKUP(A98,'Р 4. Показатели_индикаторы'!$A$9:$J$103,4,FALSE))</f>
        <v/>
      </c>
      <c r="K98" s="22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Показатели_индикаторы'!$A$9:$J$103,5,FALSE))</f>
        <v/>
      </c>
      <c r="L98" s="22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Показатели_индикаторы'!$A$9:$J$103,6,FALSE))</f>
        <v/>
      </c>
      <c r="M98" s="22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Показатели_индикаторы'!$A$9:$J$103,7,FALSE))</f>
        <v/>
      </c>
      <c r="N98" s="22" t="str">
        <f>IF(OR(Таблица26[[#This Row],[Столбец1]]="",Таблица26[[#This Row],[Столбец5]]="",Таблица26[[#This Row],[Столбец5]]="отсутствует"),"",VLOOKUP(A98,'Р 4. Показатели_индикаторы'!$A$9:$J$103,8,FALSE))</f>
        <v/>
      </c>
      <c r="O98" s="24" t="str">
        <f>IF(VLOOKUP(A98,'Р 1. "Общие сведения"'!$I$8:$L$180,4,FALSE)="","",VLOOKUP(A98,'Р 1. "Общие сведения"'!$I$8:$L$180,4,FALSE))</f>
        <v/>
      </c>
    </row>
    <row r="99">
      <c r="A99" s="16" t="str">
        <f>IF('Р 1. "Общие сведения"'!I100="","",'Р 1. "Общие сведения"'!I100)</f>
        <v xml:space="preserve"> </v>
      </c>
      <c r="B99" s="17" t="str">
        <f>IF('Р 1. "Общие сведения"'!J100="","",'Р 1. "Общие сведения"'!J100)</f>
        <v/>
      </c>
      <c r="C99" s="17" t="str">
        <f>IF('Р 1. "Общие сведения"'!H100="","",'Р 1. "Общие сведения"'!H100)</f>
        <v/>
      </c>
      <c r="D99" s="17" t="str">
        <f>IF('Р 1. "Общие сведения"'!D100="","",'Р 1. "Общие сведения"'!D100)</f>
        <v/>
      </c>
      <c r="E99" s="17" t="str">
        <f>IF('Р 1. "Общие сведения"'!K100="","",'Р 1. "Общие сведения"'!K100)</f>
        <v/>
      </c>
      <c r="F99" s="18" t="str">
        <f>IF(OR(Таблица26[[#This Row],[Столбец1]]="",Таблица26[[#This Row],[Столбец5]]="",),"",VLOOKUP(A99,Таблица9[#All],2,FALSE))</f>
        <v/>
      </c>
      <c r="G99" s="21" t="str">
        <f>IF(OR(Таблица26[[#This Row],[Столбец1]]="",Таблица26[[#This Row],[Столбец5]]=""),"",VLOOKUP(A99,'Р 5. Финансирование'!$A$9:$D$89,3,FALSE))</f>
        <v/>
      </c>
      <c r="H99" s="21" t="str">
        <f>IF(OR(Таблица26[[#This Row],[Столбец1]]="",Таблица26[[#This Row],[Столбец5]]=""),"",VLOOKUP(A99,'Р 5. Финансирование'!$A$9:$D$89,4,FALSE))</f>
        <v/>
      </c>
      <c r="I99" s="22" t="str">
        <f>IF(OR(Таблица26[[#This Row],[Столбец5]]="отсутствует",Таблица26[[#This Row],[Столбец5]]=""),"",VLOOKUP(A99,'Р 4. Показатели_индикаторы'!$A$9:$J$103,3,FALSE))</f>
        <v/>
      </c>
      <c r="J99" s="22" t="str">
        <f>IF(OR(Таблица26[[#This Row],[Столбец5]]="отсутствует",Таблица26[[#This Row],[Столбец5]]=""),"",VLOOKUP(A99,'Р 4. Показатели_индикаторы'!$A$9:$J$103,4,FALSE))</f>
        <v/>
      </c>
      <c r="K99" s="22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Показатели_индикаторы'!$A$9:$J$103,5,FALSE))</f>
        <v/>
      </c>
      <c r="L99" s="22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Показатели_индикаторы'!$A$9:$J$103,6,FALSE))</f>
        <v/>
      </c>
      <c r="M99" s="22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Показатели_индикаторы'!$A$9:$J$103,7,FALSE))</f>
        <v/>
      </c>
      <c r="N99" s="22" t="str">
        <f>IF(OR(Таблица26[[#This Row],[Столбец1]]="",Таблица26[[#This Row],[Столбец5]]="",Таблица26[[#This Row],[Столбец5]]="отсутствует"),"",VLOOKUP(A99,'Р 4. Показатели_индикаторы'!$A$9:$J$103,8,FALSE))</f>
        <v/>
      </c>
      <c r="O99" s="24" t="str">
        <f>IF(VLOOKUP(A99,'Р 1. "Общие сведения"'!$I$8:$L$180,4,FALSE)="","",VLOOKUP(A99,'Р 1. "Общие сведения"'!$I$8:$L$180,4,FALSE))</f>
        <v/>
      </c>
    </row>
    <row r="100">
      <c r="A100" s="16" t="str">
        <f>IF('Р 1. "Общие сведения"'!I101="","",'Р 1. "Общие сведения"'!I101)</f>
        <v xml:space="preserve"> </v>
      </c>
      <c r="B100" s="17" t="str">
        <f>IF('Р 1. "Общие сведения"'!J101="","",'Р 1. "Общие сведения"'!J101)</f>
        <v/>
      </c>
      <c r="C100" s="17" t="str">
        <f>IF('Р 1. "Общие сведения"'!H101="","",'Р 1. "Общие сведения"'!H101)</f>
        <v/>
      </c>
      <c r="D100" s="17" t="str">
        <f>IF('Р 1. "Общие сведения"'!D101="","",'Р 1. "Общие сведения"'!D101)</f>
        <v/>
      </c>
      <c r="E100" s="17" t="str">
        <f>IF('Р 1. "Общие сведения"'!K101="","",'Р 1. "Общие сведения"'!K101)</f>
        <v/>
      </c>
      <c r="F100" s="18" t="str">
        <f>IF(OR(Таблица26[[#This Row],[Столбец1]]="",Таблица26[[#This Row],[Столбец5]]="",),"",VLOOKUP(A100,Таблица9[#All],2,FALSE))</f>
        <v/>
      </c>
      <c r="G100" s="21" t="str">
        <f>IF(OR(Таблица26[[#This Row],[Столбец1]]="",Таблица26[[#This Row],[Столбец5]]=""),"",VLOOKUP(A100,'Р 5. Финансирование'!$A$9:$D$89,3,FALSE))</f>
        <v/>
      </c>
      <c r="H100" s="21" t="str">
        <f>IF(OR(Таблица26[[#This Row],[Столбец1]]="",Таблица26[[#This Row],[Столбец5]]=""),"",VLOOKUP(A100,'Р 5. Финансирование'!$A$9:$D$89,4,FALSE))</f>
        <v/>
      </c>
      <c r="I100" s="22" t="str">
        <f>IF(OR(Таблица26[[#This Row],[Столбец5]]="отсутствует",Таблица26[[#This Row],[Столбец5]]=""),"",VLOOKUP(A100,'Р 4. Показатели_индикаторы'!$A$9:$J$103,3,FALSE))</f>
        <v/>
      </c>
      <c r="J100" s="22" t="str">
        <f>IF(OR(Таблица26[[#This Row],[Столбец5]]="отсутствует",Таблица26[[#This Row],[Столбец5]]=""),"",VLOOKUP(A100,'Р 4. Показатели_индикаторы'!$A$9:$J$103,4,FALSE))</f>
        <v/>
      </c>
      <c r="K100" s="22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Показатели_индикаторы'!$A$9:$J$103,5,FALSE))</f>
        <v/>
      </c>
      <c r="L100" s="22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Показатели_индикаторы'!$A$9:$J$103,6,FALSE))</f>
        <v/>
      </c>
      <c r="M100" s="22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Показатели_индикаторы'!$A$9:$J$103,7,FALSE))</f>
        <v/>
      </c>
      <c r="N100" s="22" t="str">
        <f>IF(OR(Таблица26[[#This Row],[Столбец1]]="",Таблица26[[#This Row],[Столбец5]]="",Таблица26[[#This Row],[Столбец5]]="отсутствует"),"",VLOOKUP(A100,'Р 4. Показатели_индикаторы'!$A$9:$J$103,8,FALSE))</f>
        <v/>
      </c>
      <c r="O100" s="24" t="str">
        <f>IF(VLOOKUP(A100,'Р 1. "Общие сведения"'!$I$8:$L$180,4,FALSE)="","",VLOOKUP(A100,'Р 1. "Общие сведения"'!$I$8:$L$180,4,FALSE))</f>
        <v/>
      </c>
    </row>
    <row r="101">
      <c r="A101" s="16" t="str">
        <f>IF('Р 1. "Общие сведения"'!I102="","",'Р 1. "Общие сведения"'!I102)</f>
        <v xml:space="preserve"> </v>
      </c>
      <c r="B101" s="17" t="str">
        <f>IF('Р 1. "Общие сведения"'!J102="","",'Р 1. "Общие сведения"'!J102)</f>
        <v/>
      </c>
      <c r="C101" s="17" t="str">
        <f>IF('Р 1. "Общие сведения"'!H102="","",'Р 1. "Общие сведения"'!H102)</f>
        <v/>
      </c>
      <c r="D101" s="17" t="str">
        <f>IF('Р 1. "Общие сведения"'!D102="","",'Р 1. "Общие сведения"'!D102)</f>
        <v/>
      </c>
      <c r="E101" s="17" t="str">
        <f>IF('Р 1. "Общие сведения"'!K102="","",'Р 1. "Общие сведения"'!K102)</f>
        <v/>
      </c>
      <c r="F101" s="18" t="str">
        <f>IF(OR(Таблица26[[#This Row],[Столбец1]]="",Таблица26[[#This Row],[Столбец5]]="",),"",VLOOKUP(A101,Таблица9[#All],2,FALSE))</f>
        <v/>
      </c>
      <c r="G101" s="21" t="str">
        <f>IF(OR(Таблица26[[#This Row],[Столбец1]]="",Таблица26[[#This Row],[Столбец5]]=""),"",VLOOKUP(A101,'Р 5. Финансирование'!$A$9:$D$89,3,FALSE))</f>
        <v/>
      </c>
      <c r="H101" s="21" t="str">
        <f>IF(OR(Таблица26[[#This Row],[Столбец1]]="",Таблица26[[#This Row],[Столбец5]]=""),"",VLOOKUP(A101,'Р 5. Финансирование'!$A$9:$D$89,4,FALSE))</f>
        <v/>
      </c>
      <c r="I101" s="22" t="str">
        <f>IF(OR(Таблица26[[#This Row],[Столбец5]]="отсутствует",Таблица26[[#This Row],[Столбец5]]=""),"",VLOOKUP(A101,'Р 4. Показатели_индикаторы'!$A$9:$J$103,3,FALSE))</f>
        <v/>
      </c>
      <c r="J101" s="22" t="str">
        <f>IF(OR(Таблица26[[#This Row],[Столбец5]]="отсутствует",Таблица26[[#This Row],[Столбец5]]=""),"",VLOOKUP(A101,'Р 4. Показатели_индикаторы'!$A$9:$J$103,4,FALSE))</f>
        <v/>
      </c>
      <c r="K101" s="22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Показатели_индикаторы'!$A$9:$J$103,5,FALSE))</f>
        <v/>
      </c>
      <c r="L101" s="22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Показатели_индикаторы'!$A$9:$J$103,6,FALSE))</f>
        <v/>
      </c>
      <c r="M101" s="22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Показатели_индикаторы'!$A$9:$J$103,7,FALSE))</f>
        <v/>
      </c>
      <c r="N101" s="22" t="str">
        <f>IF(OR(Таблица26[[#This Row],[Столбец1]]="",Таблица26[[#This Row],[Столбец5]]="",Таблица26[[#This Row],[Столбец5]]="отсутствует"),"",VLOOKUP(A101,'Р 4. Показатели_индикаторы'!$A$9:$J$103,8,FALSE))</f>
        <v/>
      </c>
      <c r="O101" s="24" t="str">
        <f>IF(VLOOKUP(A101,'Р 1. "Общие сведения"'!$I$8:$L$180,4,FALSE)="","",VLOOKUP(A101,'Р 1. "Общие сведения"'!$I$8:$L$180,4,FALSE))</f>
        <v/>
      </c>
    </row>
    <row r="102">
      <c r="A102" s="16" t="str">
        <f>IF('Р 1. "Общие сведения"'!I103="","",'Р 1. "Общие сведения"'!I103)</f>
        <v xml:space="preserve"> </v>
      </c>
      <c r="B102" s="17" t="str">
        <f>IF('Р 1. "Общие сведения"'!J103="","",'Р 1. "Общие сведения"'!J103)</f>
        <v/>
      </c>
      <c r="C102" s="17" t="str">
        <f>IF('Р 1. "Общие сведения"'!H103="","",'Р 1. "Общие сведения"'!H103)</f>
        <v/>
      </c>
      <c r="D102" s="17" t="str">
        <f>IF('Р 1. "Общие сведения"'!D103="","",'Р 1. "Общие сведения"'!D103)</f>
        <v/>
      </c>
      <c r="E102" s="17" t="str">
        <f>IF('Р 1. "Общие сведения"'!K103="","",'Р 1. "Общие сведения"'!K103)</f>
        <v/>
      </c>
      <c r="F102" s="18" t="str">
        <f>IF(OR(Таблица26[[#This Row],[Столбец1]]="",Таблица26[[#This Row],[Столбец5]]="",),"",VLOOKUP(A102,Таблица9[#All],2,FALSE))</f>
        <v/>
      </c>
      <c r="G102" s="21" t="str">
        <f>IF(OR(Таблица26[[#This Row],[Столбец1]]="",Таблица26[[#This Row],[Столбец5]]=""),"",VLOOKUP(A102,'Р 5. Финансирование'!$A$9:$D$89,3,FALSE))</f>
        <v/>
      </c>
      <c r="H102" s="21" t="str">
        <f>IF(OR(Таблица26[[#This Row],[Столбец1]]="",Таблица26[[#This Row],[Столбец5]]=""),"",VLOOKUP(A102,'Р 5. Финансирование'!$A$9:$D$89,4,FALSE))</f>
        <v/>
      </c>
      <c r="I102" s="22" t="str">
        <f>IF(OR(Таблица26[[#This Row],[Столбец5]]="отсутствует",Таблица26[[#This Row],[Столбец5]]=""),"",VLOOKUP(A102,'Р 4. Показатели_индикаторы'!$A$9:$J$103,3,FALSE))</f>
        <v/>
      </c>
      <c r="J102" s="22" t="str">
        <f>IF(OR(Таблица26[[#This Row],[Столбец5]]="отсутствует",Таблица26[[#This Row],[Столбец5]]=""),"",VLOOKUP(A102,'Р 4. Показатели_индикаторы'!$A$9:$J$103,4,FALSE))</f>
        <v/>
      </c>
      <c r="K102" s="22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Показатели_индикаторы'!$A$9:$J$103,5,FALSE))</f>
        <v/>
      </c>
      <c r="L102" s="22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Показатели_индикаторы'!$A$9:$J$103,6,FALSE))</f>
        <v/>
      </c>
      <c r="M102" s="22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Показатели_индикаторы'!$A$9:$J$103,7,FALSE))</f>
        <v/>
      </c>
      <c r="N102" s="22" t="str">
        <f>IF(OR(Таблица26[[#This Row],[Столбец1]]="",Таблица26[[#This Row],[Столбец5]]="",Таблица26[[#This Row],[Столбец5]]="отсутствует"),"",VLOOKUP(A102,'Р 4. Показатели_индикаторы'!$A$9:$J$103,8,FALSE))</f>
        <v/>
      </c>
      <c r="O102" s="24" t="str">
        <f>IF(VLOOKUP(A102,'Р 1. "Общие сведения"'!$I$8:$L$180,4,FALSE)="","",VLOOKUP(A102,'Р 1. "Общие сведения"'!$I$8:$L$180,4,FALSE))</f>
        <v/>
      </c>
    </row>
    <row r="103">
      <c r="A103" s="16" t="str">
        <f>IF('Р 1. "Общие сведения"'!I104="","",'Р 1. "Общие сведения"'!I104)</f>
        <v xml:space="preserve"> </v>
      </c>
      <c r="B103" s="17" t="str">
        <f>IF('Р 1. "Общие сведения"'!J104="","",'Р 1. "Общие сведения"'!J104)</f>
        <v/>
      </c>
      <c r="C103" s="17" t="str">
        <f>IF('Р 1. "Общие сведения"'!H104="","",'Р 1. "Общие сведения"'!H104)</f>
        <v/>
      </c>
      <c r="D103" s="17" t="str">
        <f>IF('Р 1. "Общие сведения"'!D104="","",'Р 1. "Общие сведения"'!D104)</f>
        <v/>
      </c>
      <c r="E103" s="17" t="str">
        <f>IF('Р 1. "Общие сведения"'!K104="","",'Р 1. "Общие сведения"'!K104)</f>
        <v/>
      </c>
      <c r="F103" s="18" t="str">
        <f>IF(OR(Таблица26[[#This Row],[Столбец1]]="",Таблица26[[#This Row],[Столбец5]]="",),"",VLOOKUP(A103,Таблица9[#All],2,FALSE))</f>
        <v/>
      </c>
      <c r="G103" s="21" t="str">
        <f>IF(OR(Таблица26[[#This Row],[Столбец1]]="",Таблица26[[#This Row],[Столбец5]]=""),"",VLOOKUP(A103,'Р 5. Финансирование'!$A$9:$D$89,3,FALSE))</f>
        <v/>
      </c>
      <c r="H103" s="21" t="str">
        <f>IF(OR(Таблица26[[#This Row],[Столбец1]]="",Таблица26[[#This Row],[Столбец5]]=""),"",VLOOKUP(A103,'Р 5. Финансирование'!$A$9:$D$89,4,FALSE))</f>
        <v/>
      </c>
      <c r="I103" s="22" t="str">
        <f>IF(OR(Таблица26[[#This Row],[Столбец5]]="отсутствует",Таблица26[[#This Row],[Столбец5]]=""),"",VLOOKUP(A103,'Р 4. Показатели_индикаторы'!$A$9:$J$103,3,FALSE))</f>
        <v/>
      </c>
      <c r="J103" s="22" t="str">
        <f>IF(OR(Таблица26[[#This Row],[Столбец5]]="отсутствует",Таблица26[[#This Row],[Столбец5]]=""),"",VLOOKUP(A103,'Р 4. Показатели_индикаторы'!$A$9:$J$103,4,FALSE))</f>
        <v/>
      </c>
      <c r="K103" s="22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Показатели_индикаторы'!$A$9:$J$103,5,FALSE))</f>
        <v/>
      </c>
      <c r="L103" s="22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Показатели_индикаторы'!$A$9:$J$103,6,FALSE))</f>
        <v/>
      </c>
      <c r="M103" s="22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Показатели_индикаторы'!$A$9:$J$103,7,FALSE))</f>
        <v/>
      </c>
      <c r="N103" s="22" t="str">
        <f>IF(OR(Таблица26[[#This Row],[Столбец1]]="",Таблица26[[#This Row],[Столбец5]]="",Таблица26[[#This Row],[Столбец5]]="отсутствует"),"",VLOOKUP(A103,'Р 4. Показатели_индикаторы'!$A$9:$J$103,8,FALSE))</f>
        <v/>
      </c>
      <c r="O103" s="24" t="str">
        <f>IF(VLOOKUP(A103,'Р 1. "Общие сведения"'!$I$8:$L$180,4,FALSE)="","",VLOOKUP(A103,'Р 1. "Общие сведения"'!$I$8:$L$180,4,FALSE))</f>
        <v/>
      </c>
    </row>
    <row r="104">
      <c r="A104" s="16" t="str">
        <f>IF('Р 1. "Общие сведения"'!I105="","",'Р 1. "Общие сведения"'!I105)</f>
        <v xml:space="preserve"> </v>
      </c>
      <c r="B104" s="17" t="str">
        <f>IF('Р 1. "Общие сведения"'!J105="","",'Р 1. "Общие сведения"'!J105)</f>
        <v/>
      </c>
      <c r="C104" s="17" t="str">
        <f>IF('Р 1. "Общие сведения"'!H105="","",'Р 1. "Общие сведения"'!H105)</f>
        <v/>
      </c>
      <c r="D104" s="17" t="str">
        <f>IF('Р 1. "Общие сведения"'!D105="","",'Р 1. "Общие сведения"'!D105)</f>
        <v/>
      </c>
      <c r="E104" s="17" t="str">
        <f>IF('Р 1. "Общие сведения"'!K105="","",'Р 1. "Общие сведения"'!K105)</f>
        <v/>
      </c>
      <c r="F104" s="18" t="str">
        <f>IF(OR(Таблица26[[#This Row],[Столбец1]]="",Таблица26[[#This Row],[Столбец5]]="",),"",VLOOKUP(A104,Таблица9[#All],2,FALSE))</f>
        <v/>
      </c>
      <c r="G104" s="21" t="str">
        <f>IF(OR(Таблица26[[#This Row],[Столбец1]]="",Таблица26[[#This Row],[Столбец5]]=""),"",VLOOKUP(A104,'Р 5. Финансирование'!$A$9:$D$89,3,FALSE))</f>
        <v/>
      </c>
      <c r="H104" s="21" t="str">
        <f>IF(OR(Таблица26[[#This Row],[Столбец1]]="",Таблица26[[#This Row],[Столбец5]]=""),"",VLOOKUP(A104,'Р 5. Финансирование'!$A$9:$D$89,4,FALSE))</f>
        <v/>
      </c>
      <c r="I104" s="22" t="str">
        <f>IF(OR(Таблица26[[#This Row],[Столбец5]]="отсутствует",Таблица26[[#This Row],[Столбец5]]=""),"",VLOOKUP(A104,'Р 4. Показатели_индикаторы'!$A$9:$J$103,3,FALSE))</f>
        <v/>
      </c>
      <c r="J104" s="22" t="str">
        <f>IF(OR(Таблица26[[#This Row],[Столбец5]]="отсутствует",Таблица26[[#This Row],[Столбец5]]=""),"",VLOOKUP(A104,'Р 4. Показатели_индикаторы'!$A$9:$J$103,4,FALSE))</f>
        <v/>
      </c>
      <c r="K104" s="22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Показатели_индикаторы'!$A$9:$J$103,5,FALSE))</f>
        <v/>
      </c>
      <c r="L104" s="22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Показатели_индикаторы'!$A$9:$J$103,6,FALSE))</f>
        <v/>
      </c>
      <c r="M104" s="22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Показатели_индикаторы'!$A$9:$J$103,7,FALSE))</f>
        <v/>
      </c>
      <c r="N104" s="22" t="str">
        <f>IF(OR(Таблица26[[#This Row],[Столбец1]]="",Таблица26[[#This Row],[Столбец5]]="",Таблица26[[#This Row],[Столбец5]]="отсутствует"),"",VLOOKUP(A104,'Р 4. Показатели_индикаторы'!$A$9:$J$103,8,FALSE))</f>
        <v/>
      </c>
      <c r="O104" s="24" t="str">
        <f>IF(VLOOKUP(A104,'Р 1. "Общие сведения"'!$I$8:$L$180,4,FALSE)="","",VLOOKUP(A104,'Р 1. "Общие сведения"'!$I$8:$L$180,4,FALSE))</f>
        <v/>
      </c>
    </row>
    <row r="105">
      <c r="A105" s="16" t="str">
        <f>IF('Р 1. "Общие сведения"'!I106="","",'Р 1. "Общие сведения"'!I106)</f>
        <v xml:space="preserve"> </v>
      </c>
      <c r="B105" s="17" t="str">
        <f>IF('Р 1. "Общие сведения"'!J106="","",'Р 1. "Общие сведения"'!J106)</f>
        <v/>
      </c>
      <c r="C105" s="17" t="str">
        <f>IF('Р 1. "Общие сведения"'!H106="","",'Р 1. "Общие сведения"'!H106)</f>
        <v/>
      </c>
      <c r="D105" s="17" t="str">
        <f>IF('Р 1. "Общие сведения"'!D106="","",'Р 1. "Общие сведения"'!D106)</f>
        <v/>
      </c>
      <c r="E105" s="17" t="str">
        <f>IF('Р 1. "Общие сведения"'!K106="","",'Р 1. "Общие сведения"'!K106)</f>
        <v/>
      </c>
      <c r="F105" s="18" t="str">
        <f>IF(OR(Таблица26[[#This Row],[Столбец1]]="",Таблица26[[#This Row],[Столбец5]]="",),"",VLOOKUP(A105,Таблица9[#All],2,FALSE))</f>
        <v/>
      </c>
      <c r="G105" s="21" t="str">
        <f>IF(OR(Таблица26[[#This Row],[Столбец1]]="",Таблица26[[#This Row],[Столбец5]]=""),"",VLOOKUP(A105,'Р 5. Финансирование'!$A$9:$D$89,3,FALSE))</f>
        <v/>
      </c>
      <c r="H105" s="21" t="str">
        <f>IF(OR(Таблица26[[#This Row],[Столбец1]]="",Таблица26[[#This Row],[Столбец5]]=""),"",VLOOKUP(A105,'Р 5. Финансирование'!$A$9:$D$89,4,FALSE))</f>
        <v/>
      </c>
      <c r="I105" s="22" t="str">
        <f>IF(OR(Таблица26[[#This Row],[Столбец5]]="отсутствует",Таблица26[[#This Row],[Столбец5]]=""),"",VLOOKUP(A105,'Р 4. Показатели_индикаторы'!$A$9:$J$103,3,FALSE))</f>
        <v/>
      </c>
      <c r="J105" s="22" t="str">
        <f>IF(OR(Таблица26[[#This Row],[Столбец5]]="отсутствует",Таблица26[[#This Row],[Столбец5]]=""),"",VLOOKUP(A105,'Р 4. Показатели_индикаторы'!$A$9:$J$103,4,FALSE))</f>
        <v/>
      </c>
      <c r="K105" s="22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Показатели_индикаторы'!$A$9:$J$103,5,FALSE))</f>
        <v/>
      </c>
      <c r="L105" s="22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Показатели_индикаторы'!$A$9:$J$103,6,FALSE))</f>
        <v/>
      </c>
      <c r="M105" s="22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Показатели_индикаторы'!$A$9:$J$103,7,FALSE))</f>
        <v/>
      </c>
      <c r="N105" s="22" t="str">
        <f>IF(OR(Таблица26[[#This Row],[Столбец1]]="",Таблица26[[#This Row],[Столбец5]]="",Таблица26[[#This Row],[Столбец5]]="отсутствует"),"",VLOOKUP(A105,'Р 4. Показатели_индикаторы'!$A$9:$J$103,8,FALSE))</f>
        <v/>
      </c>
      <c r="O105" s="24" t="str">
        <f>IF(VLOOKUP(A105,'Р 1. "Общие сведения"'!$I$8:$L$180,4,FALSE)="","",VLOOKUP(A105,'Р 1. "Общие сведения"'!$I$8:$L$180,4,FALSE))</f>
        <v/>
      </c>
    </row>
    <row r="106">
      <c r="A106" s="16" t="str">
        <f>IF('Р 1. "Общие сведения"'!I107="","",'Р 1. "Общие сведения"'!I107)</f>
        <v xml:space="preserve"> </v>
      </c>
      <c r="B106" s="17" t="str">
        <f>IF('Р 1. "Общие сведения"'!J107="","",'Р 1. "Общие сведения"'!J107)</f>
        <v/>
      </c>
      <c r="C106" s="17" t="str">
        <f>IF('Р 1. "Общие сведения"'!H107="","",'Р 1. "Общие сведения"'!H107)</f>
        <v/>
      </c>
      <c r="D106" s="17" t="str">
        <f>IF('Р 1. "Общие сведения"'!D107="","",'Р 1. "Общие сведения"'!D107)</f>
        <v/>
      </c>
      <c r="E106" s="17" t="str">
        <f>IF('Р 1. "Общие сведения"'!K107="","",'Р 1. "Общие сведения"'!K107)</f>
        <v/>
      </c>
      <c r="F106" s="18" t="str">
        <f>IF(OR(Таблица26[[#This Row],[Столбец1]]="",Таблица26[[#This Row],[Столбец5]]="",),"",VLOOKUP(A106,Таблица9[#All],2,FALSE))</f>
        <v/>
      </c>
      <c r="G106" s="21" t="str">
        <f>IF(OR(Таблица26[[#This Row],[Столбец1]]="",Таблица26[[#This Row],[Столбец5]]=""),"",VLOOKUP(A106,'Р 5. Финансирование'!$A$9:$D$89,3,FALSE))</f>
        <v/>
      </c>
      <c r="H106" s="21" t="str">
        <f>IF(OR(Таблица26[[#This Row],[Столбец1]]="",Таблица26[[#This Row],[Столбец5]]=""),"",VLOOKUP(A106,'Р 5. Финансирование'!$A$9:$D$89,4,FALSE))</f>
        <v/>
      </c>
      <c r="I106" s="22" t="str">
        <f>IF(OR(Таблица26[[#This Row],[Столбец5]]="отсутствует",Таблица26[[#This Row],[Столбец5]]=""),"",VLOOKUP(A106,'Р 4. Показатели_индикаторы'!$A$9:$J$103,3,FALSE))</f>
        <v/>
      </c>
      <c r="J106" s="22" t="str">
        <f>IF(OR(Таблица26[[#This Row],[Столбец5]]="отсутствует",Таблица26[[#This Row],[Столбец5]]=""),"",VLOOKUP(A106,'Р 4. Показатели_индикаторы'!$A$9:$J$103,4,FALSE))</f>
        <v/>
      </c>
      <c r="K106" s="22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Показатели_индикаторы'!$A$9:$J$103,5,FALSE))</f>
        <v/>
      </c>
      <c r="L106" s="22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Показатели_индикаторы'!$A$9:$J$103,6,FALSE))</f>
        <v/>
      </c>
      <c r="M106" s="22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Показатели_индикаторы'!$A$9:$J$103,7,FALSE))</f>
        <v/>
      </c>
      <c r="N106" s="22" t="str">
        <f>IF(OR(Таблица26[[#This Row],[Столбец1]]="",Таблица26[[#This Row],[Столбец5]]="",Таблица26[[#This Row],[Столбец5]]="отсутствует"),"",VLOOKUP(A106,'Р 4. Показатели_индикаторы'!$A$9:$J$103,8,FALSE))</f>
        <v/>
      </c>
      <c r="O106" s="24" t="str">
        <f>IF(VLOOKUP(A106,'Р 1. "Общие сведения"'!$I$8:$L$180,4,FALSE)="","",VLOOKUP(A106,'Р 1. "Общие сведения"'!$I$8:$L$180,4,FALSE))</f>
        <v/>
      </c>
    </row>
    <row r="107">
      <c r="A107" s="16" t="str">
        <f>IF('Р 1. "Общие сведения"'!I108="","",'Р 1. "Общие сведения"'!I108)</f>
        <v xml:space="preserve"> </v>
      </c>
      <c r="B107" s="17" t="str">
        <f>IF('Р 1. "Общие сведения"'!J108="","",'Р 1. "Общие сведения"'!J108)</f>
        <v/>
      </c>
      <c r="C107" s="17" t="str">
        <f>IF('Р 1. "Общие сведения"'!H108="","",'Р 1. "Общие сведения"'!H108)</f>
        <v/>
      </c>
      <c r="D107" s="17" t="str">
        <f>IF('Р 1. "Общие сведения"'!D108="","",'Р 1. "Общие сведения"'!D108)</f>
        <v/>
      </c>
      <c r="E107" s="17" t="str">
        <f>IF('Р 1. "Общие сведения"'!K108="","",'Р 1. "Общие сведения"'!K108)</f>
        <v/>
      </c>
      <c r="F107" s="18" t="str">
        <f>IF(OR(Таблица26[[#This Row],[Столбец1]]="",Таблица26[[#This Row],[Столбец5]]="",),"",VLOOKUP(A107,Таблица9[#All],2,FALSE))</f>
        <v/>
      </c>
      <c r="G107" s="21" t="str">
        <f>IF(OR(Таблица26[[#This Row],[Столбец1]]="",Таблица26[[#This Row],[Столбец5]]=""),"",VLOOKUP(A107,'Р 5. Финансирование'!$A$9:$D$89,3,FALSE))</f>
        <v/>
      </c>
      <c r="H107" s="21" t="str">
        <f>IF(OR(Таблица26[[#This Row],[Столбец1]]="",Таблица26[[#This Row],[Столбец5]]=""),"",VLOOKUP(A107,'Р 5. Финансирование'!$A$9:$D$89,4,FALSE))</f>
        <v/>
      </c>
      <c r="I107" s="22" t="str">
        <f>IF(OR(Таблица26[[#This Row],[Столбец5]]="отсутствует",Таблица26[[#This Row],[Столбец5]]=""),"",VLOOKUP(A107,'Р 4. Показатели_индикаторы'!$A$9:$J$103,3,FALSE))</f>
        <v/>
      </c>
      <c r="J107" s="22" t="str">
        <f>IF(OR(Таблица26[[#This Row],[Столбец5]]="отсутствует",Таблица26[[#This Row],[Столбец5]]=""),"",VLOOKUP(A107,'Р 4. Показатели_индикаторы'!$A$9:$J$103,4,FALSE))</f>
        <v/>
      </c>
      <c r="K107" s="22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Показатели_индикаторы'!$A$9:$J$103,5,FALSE))</f>
        <v/>
      </c>
      <c r="L107" s="22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Показатели_индикаторы'!$A$9:$J$103,6,FALSE))</f>
        <v/>
      </c>
      <c r="M107" s="22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Показатели_индикаторы'!$A$9:$J$103,7,FALSE))</f>
        <v/>
      </c>
      <c r="N107" s="22" t="str">
        <f>IF(OR(Таблица26[[#This Row],[Столбец1]]="",Таблица26[[#This Row],[Столбец5]]="",Таблица26[[#This Row],[Столбец5]]="отсутствует"),"",VLOOKUP(A107,'Р 4. Показатели_индикаторы'!$A$9:$J$103,8,FALSE))</f>
        <v/>
      </c>
      <c r="O107" s="24" t="str">
        <f>IF(VLOOKUP(A107,'Р 1. "Общие сведения"'!$I$8:$L$180,4,FALSE)="","",VLOOKUP(A107,'Р 1. "Общие сведения"'!$I$8:$L$180,4,FALSE))</f>
        <v/>
      </c>
    </row>
    <row r="108">
      <c r="A108" s="16" t="str">
        <f>IF('Р 1. "Общие сведения"'!I109="","",'Р 1. "Общие сведения"'!I109)</f>
        <v xml:space="preserve"> </v>
      </c>
      <c r="B108" s="17" t="str">
        <f>IF('Р 1. "Общие сведения"'!J109="","",'Р 1. "Общие сведения"'!J109)</f>
        <v/>
      </c>
      <c r="C108" s="17" t="str">
        <f>IF('Р 1. "Общие сведения"'!H109="","",'Р 1. "Общие сведения"'!H109)</f>
        <v/>
      </c>
      <c r="D108" s="17" t="str">
        <f>IF('Р 1. "Общие сведения"'!D109="","",'Р 1. "Общие сведения"'!D109)</f>
        <v/>
      </c>
      <c r="E108" s="17" t="str">
        <f>IF('Р 1. "Общие сведения"'!K109="","",'Р 1. "Общие сведения"'!K109)</f>
        <v/>
      </c>
      <c r="F108" s="18" t="str">
        <f>IF(OR(Таблица26[[#This Row],[Столбец1]]="",Таблица26[[#This Row],[Столбец5]]="",),"",VLOOKUP(A108,Таблица9[#All],2,FALSE))</f>
        <v/>
      </c>
      <c r="G108" s="21" t="str">
        <f>IF(OR(Таблица26[[#This Row],[Столбец1]]="",Таблица26[[#This Row],[Столбец5]]=""),"",VLOOKUP(A108,'Р 5. Финансирование'!$A$9:$D$89,3,FALSE))</f>
        <v/>
      </c>
      <c r="H108" s="21" t="str">
        <f>IF(OR(Таблица26[[#This Row],[Столбец1]]="",Таблица26[[#This Row],[Столбец5]]=""),"",VLOOKUP(A108,'Р 5. Финансирование'!$A$9:$D$89,4,FALSE))</f>
        <v/>
      </c>
      <c r="I108" s="22" t="str">
        <f>IF(OR(Таблица26[[#This Row],[Столбец5]]="отсутствует",Таблица26[[#This Row],[Столбец5]]=""),"",VLOOKUP(A108,'Р 4. Показатели_индикаторы'!$A$9:$J$103,3,FALSE))</f>
        <v/>
      </c>
      <c r="J108" s="22" t="str">
        <f>IF(OR(Таблица26[[#This Row],[Столбец5]]="отсутствует",Таблица26[[#This Row],[Столбец5]]=""),"",VLOOKUP(A108,'Р 4. Показатели_индикаторы'!$A$9:$J$103,4,FALSE))</f>
        <v/>
      </c>
      <c r="K108" s="22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Показатели_индикаторы'!$A$9:$J$103,5,FALSE))</f>
        <v/>
      </c>
      <c r="L108" s="22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Показатели_индикаторы'!$A$9:$J$103,6,FALSE))</f>
        <v/>
      </c>
      <c r="M108" s="22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Показатели_индикаторы'!$A$9:$J$103,7,FALSE))</f>
        <v/>
      </c>
      <c r="N108" s="22" t="str">
        <f>IF(OR(Таблица26[[#This Row],[Столбец1]]="",Таблица26[[#This Row],[Столбец5]]="",Таблица26[[#This Row],[Столбец5]]="отсутствует"),"",VLOOKUP(A108,'Р 4. Показатели_индикаторы'!$A$9:$J$103,8,FALSE))</f>
        <v/>
      </c>
      <c r="O108" s="24" t="str">
        <f>IF(VLOOKUP(A108,'Р 1. "Общие сведения"'!$I$8:$L$180,4,FALSE)="","",VLOOKUP(A108,'Р 1. "Общие сведения"'!$I$8:$L$180,4,FALSE))</f>
        <v/>
      </c>
    </row>
    <row r="109">
      <c r="A109" s="16" t="str">
        <f>IF('Р 1. "Общие сведения"'!I110="","",'Р 1. "Общие сведения"'!I110)</f>
        <v xml:space="preserve"> </v>
      </c>
      <c r="B109" s="17" t="str">
        <f>IF('Р 1. "Общие сведения"'!J110="","",'Р 1. "Общие сведения"'!J110)</f>
        <v/>
      </c>
      <c r="C109" s="17" t="str">
        <f>IF('Р 1. "Общие сведения"'!H110="","",'Р 1. "Общие сведения"'!H110)</f>
        <v/>
      </c>
      <c r="D109" s="17" t="str">
        <f>IF('Р 1. "Общие сведения"'!D110="","",'Р 1. "Общие сведения"'!D110)</f>
        <v/>
      </c>
      <c r="E109" s="17" t="str">
        <f>IF('Р 1. "Общие сведения"'!K110="","",'Р 1. "Общие сведения"'!K110)</f>
        <v/>
      </c>
      <c r="F109" s="18" t="str">
        <f>IF(OR(Таблица26[[#This Row],[Столбец1]]="",Таблица26[[#This Row],[Столбец5]]="",),"",VLOOKUP(A109,Таблица9[#All],2,FALSE))</f>
        <v/>
      </c>
      <c r="G109" s="21" t="str">
        <f>IF(OR(Таблица26[[#This Row],[Столбец1]]="",Таблица26[[#This Row],[Столбец5]]=""),"",VLOOKUP(A109,'Р 5. Финансирование'!$A$9:$D$89,3,FALSE))</f>
        <v/>
      </c>
      <c r="H109" s="21" t="str">
        <f>IF(OR(Таблица26[[#This Row],[Столбец1]]="",Таблица26[[#This Row],[Столбец5]]=""),"",VLOOKUP(A109,'Р 5. Финансирование'!$A$9:$D$89,4,FALSE))</f>
        <v/>
      </c>
      <c r="I109" s="22" t="str">
        <f>IF(OR(Таблица26[[#This Row],[Столбец5]]="отсутствует",Таблица26[[#This Row],[Столбец5]]=""),"",VLOOKUP(A109,'Р 4. Показатели_индикаторы'!$A$9:$J$103,3,FALSE))</f>
        <v/>
      </c>
      <c r="J109" s="22" t="str">
        <f>IF(OR(Таблица26[[#This Row],[Столбец5]]="отсутствует",Таблица26[[#This Row],[Столбец5]]=""),"",VLOOKUP(A109,'Р 4. Показатели_индикаторы'!$A$9:$J$103,4,FALSE))</f>
        <v/>
      </c>
      <c r="K109" s="22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Показатели_индикаторы'!$A$9:$J$103,5,FALSE))</f>
        <v/>
      </c>
      <c r="L109" s="22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Показатели_индикаторы'!$A$9:$J$103,6,FALSE))</f>
        <v/>
      </c>
      <c r="M109" s="22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Показатели_индикаторы'!$A$9:$J$103,7,FALSE))</f>
        <v/>
      </c>
      <c r="N109" s="22" t="str">
        <f>IF(OR(Таблица26[[#This Row],[Столбец1]]="",Таблица26[[#This Row],[Столбец5]]="",Таблица26[[#This Row],[Столбец5]]="отсутствует"),"",VLOOKUP(A109,'Р 4. Показатели_индикаторы'!$A$9:$J$103,8,FALSE))</f>
        <v/>
      </c>
      <c r="O109" s="24" t="str">
        <f>IF(VLOOKUP(A109,'Р 1. "Общие сведения"'!$I$8:$L$180,4,FALSE)="","",VLOOKUP(A109,'Р 1. "Общие сведения"'!$I$8:$L$180,4,FALSE))</f>
        <v/>
      </c>
    </row>
    <row r="110">
      <c r="A110" s="16" t="str">
        <f>IF('Р 1. "Общие сведения"'!I111="","",'Р 1. "Общие сведения"'!I111)</f>
        <v xml:space="preserve"> </v>
      </c>
      <c r="B110" s="17" t="str">
        <f>IF('Р 1. "Общие сведения"'!J111="","",'Р 1. "Общие сведения"'!J111)</f>
        <v/>
      </c>
      <c r="C110" s="17" t="str">
        <f>IF('Р 1. "Общие сведения"'!H111="","",'Р 1. "Общие сведения"'!H111)</f>
        <v/>
      </c>
      <c r="D110" s="17" t="str">
        <f>IF('Р 1. "Общие сведения"'!D111="","",'Р 1. "Общие сведения"'!D111)</f>
        <v/>
      </c>
      <c r="E110" s="17" t="str">
        <f>IF('Р 1. "Общие сведения"'!K111="","",'Р 1. "Общие сведения"'!K111)</f>
        <v/>
      </c>
      <c r="F110" s="18" t="str">
        <f>IF(OR(Таблица26[[#This Row],[Столбец1]]="",Таблица26[[#This Row],[Столбец5]]="",),"",VLOOKUP(A110,Таблица9[#All],2,FALSE))</f>
        <v/>
      </c>
      <c r="G110" s="21" t="str">
        <f>IF(OR(Таблица26[[#This Row],[Столбец1]]="",Таблица26[[#This Row],[Столбец5]]=""),"",VLOOKUP(A110,'Р 5. Финансирование'!$A$9:$D$89,3,FALSE))</f>
        <v/>
      </c>
      <c r="H110" s="21" t="str">
        <f>IF(OR(Таблица26[[#This Row],[Столбец1]]="",Таблица26[[#This Row],[Столбец5]]=""),"",VLOOKUP(A110,'Р 5. Финансирование'!$A$9:$D$89,4,FALSE))</f>
        <v/>
      </c>
      <c r="I110" s="22" t="str">
        <f>IF(OR(Таблица26[[#This Row],[Столбец5]]="отсутствует",Таблица26[[#This Row],[Столбец5]]=""),"",VLOOKUP(A110,'Р 4. Показатели_индикаторы'!$A$9:$J$103,3,FALSE))</f>
        <v/>
      </c>
      <c r="J110" s="22" t="str">
        <f>IF(OR(Таблица26[[#This Row],[Столбец5]]="отсутствует",Таблица26[[#This Row],[Столбец5]]=""),"",VLOOKUP(A110,'Р 4. Показатели_индикаторы'!$A$9:$J$103,4,FALSE))</f>
        <v/>
      </c>
      <c r="K110" s="22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Показатели_индикаторы'!$A$9:$J$103,5,FALSE))</f>
        <v/>
      </c>
      <c r="L110" s="22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Показатели_индикаторы'!$A$9:$J$103,6,FALSE))</f>
        <v/>
      </c>
      <c r="M110" s="22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Показатели_индикаторы'!$A$9:$J$103,7,FALSE))</f>
        <v/>
      </c>
      <c r="N110" s="22" t="str">
        <f>IF(OR(Таблица26[[#This Row],[Столбец1]]="",Таблица26[[#This Row],[Столбец5]]="",Таблица26[[#This Row],[Столбец5]]="отсутствует"),"",VLOOKUP(A110,'Р 4. Показатели_индикаторы'!$A$9:$J$103,8,FALSE))</f>
        <v/>
      </c>
      <c r="O110" s="24" t="str">
        <f>IF(VLOOKUP(A110,'Р 1. "Общие сведения"'!$I$8:$L$180,4,FALSE)="","",VLOOKUP(A110,'Р 1. "Общие сведения"'!$I$8:$L$180,4,FALSE))</f>
        <v/>
      </c>
    </row>
    <row r="111">
      <c r="A111" s="16" t="str">
        <f>IF('Р 1. "Общие сведения"'!I112="","",'Р 1. "Общие сведения"'!I112)</f>
        <v xml:space="preserve"> </v>
      </c>
      <c r="B111" s="17" t="str">
        <f>IF('Р 1. "Общие сведения"'!J112="","",'Р 1. "Общие сведения"'!J112)</f>
        <v/>
      </c>
      <c r="C111" s="17" t="str">
        <f>IF('Р 1. "Общие сведения"'!H112="","",'Р 1. "Общие сведения"'!H112)</f>
        <v/>
      </c>
      <c r="D111" s="17" t="str">
        <f>IF('Р 1. "Общие сведения"'!D112="","",'Р 1. "Общие сведения"'!D112)</f>
        <v/>
      </c>
      <c r="E111" s="17" t="str">
        <f>IF('Р 1. "Общие сведения"'!K112="","",'Р 1. "Общие сведения"'!K112)</f>
        <v/>
      </c>
      <c r="F111" s="18" t="str">
        <f>IF(OR(Таблица26[[#This Row],[Столбец1]]="",Таблица26[[#This Row],[Столбец5]]="",),"",VLOOKUP(A111,Таблица9[#All],2,FALSE))</f>
        <v/>
      </c>
      <c r="G111" s="21" t="str">
        <f>IF(OR(Таблица26[[#This Row],[Столбец1]]="",Таблица26[[#This Row],[Столбец5]]=""),"",VLOOKUP(A111,'Р 5. Финансирование'!$A$9:$D$89,3,FALSE))</f>
        <v/>
      </c>
      <c r="H111" s="21" t="str">
        <f>IF(OR(Таблица26[[#This Row],[Столбец1]]="",Таблица26[[#This Row],[Столбец5]]=""),"",VLOOKUP(A111,'Р 5. Финансирование'!$A$9:$D$89,4,FALSE))</f>
        <v/>
      </c>
      <c r="I111" s="22" t="str">
        <f>IF(OR(Таблица26[[#This Row],[Столбец5]]="отсутствует",Таблица26[[#This Row],[Столбец5]]=""),"",VLOOKUP(A111,'Р 4. Показатели_индикаторы'!$A$9:$J$103,3,FALSE))</f>
        <v/>
      </c>
      <c r="J111" s="22" t="str">
        <f>IF(OR(Таблица26[[#This Row],[Столбец5]]="отсутствует",Таблица26[[#This Row],[Столбец5]]=""),"",VLOOKUP(A111,'Р 4. Показатели_индикаторы'!$A$9:$J$103,4,FALSE))</f>
        <v/>
      </c>
      <c r="K111" s="22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Показатели_индикаторы'!$A$9:$J$103,5,FALSE))</f>
        <v/>
      </c>
      <c r="L111" s="22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Показатели_индикаторы'!$A$9:$J$103,6,FALSE))</f>
        <v/>
      </c>
      <c r="M111" s="22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Показатели_индикаторы'!$A$9:$J$103,7,FALSE))</f>
        <v/>
      </c>
      <c r="N111" s="22" t="str">
        <f>IF(OR(Таблица26[[#This Row],[Столбец1]]="",Таблица26[[#This Row],[Столбец5]]="",Таблица26[[#This Row],[Столбец5]]="отсутствует"),"",VLOOKUP(A111,'Р 4. Показатели_индикаторы'!$A$9:$J$103,8,FALSE))</f>
        <v/>
      </c>
      <c r="O111" s="24" t="str">
        <f>IF(VLOOKUP(A111,'Р 1. "Общие сведения"'!$I$8:$L$180,4,FALSE)="","",VLOOKUP(A111,'Р 1. "Общие сведения"'!$I$8:$L$180,4,FALSE))</f>
        <v/>
      </c>
    </row>
    <row r="112">
      <c r="A112" s="16" t="str">
        <f>IF('Р 1. "Общие сведения"'!I113="","",'Р 1. "Общие сведения"'!I113)</f>
        <v xml:space="preserve"> </v>
      </c>
      <c r="B112" s="17" t="str">
        <f>IF('Р 1. "Общие сведения"'!J113="","",'Р 1. "Общие сведения"'!J113)</f>
        <v/>
      </c>
      <c r="C112" s="17" t="str">
        <f>IF('Р 1. "Общие сведения"'!H113="","",'Р 1. "Общие сведения"'!H113)</f>
        <v/>
      </c>
      <c r="D112" s="17" t="str">
        <f>IF('Р 1. "Общие сведения"'!D113="","",'Р 1. "Общие сведения"'!D113)</f>
        <v/>
      </c>
      <c r="E112" s="17" t="str">
        <f>IF('Р 1. "Общие сведения"'!K113="","",'Р 1. "Общие сведения"'!K113)</f>
        <v/>
      </c>
      <c r="F112" s="18" t="str">
        <f>IF(OR(Таблица26[[#This Row],[Столбец1]]="",Таблица26[[#This Row],[Столбец5]]="",),"",VLOOKUP(A112,Таблица9[#All],2,FALSE))</f>
        <v/>
      </c>
      <c r="G112" s="21" t="str">
        <f>IF(OR(Таблица26[[#This Row],[Столбец1]]="",Таблица26[[#This Row],[Столбец5]]=""),"",VLOOKUP(A112,'Р 5. Финансирование'!$A$9:$D$89,3,FALSE))</f>
        <v/>
      </c>
      <c r="H112" s="21" t="str">
        <f>IF(OR(Таблица26[[#This Row],[Столбец1]]="",Таблица26[[#This Row],[Столбец5]]=""),"",VLOOKUP(A112,'Р 5. Финансирование'!$A$9:$D$89,4,FALSE))</f>
        <v/>
      </c>
      <c r="I112" s="22" t="str">
        <f>IF(OR(Таблица26[[#This Row],[Столбец5]]="отсутствует",Таблица26[[#This Row],[Столбец5]]=""),"",VLOOKUP(A112,'Р 4. Показатели_индикаторы'!$A$9:$J$103,3,FALSE))</f>
        <v/>
      </c>
      <c r="J112" s="22" t="str">
        <f>IF(OR(Таблица26[[#This Row],[Столбец5]]="отсутствует",Таблица26[[#This Row],[Столбец5]]=""),"",VLOOKUP(A112,'Р 4. Показатели_индикаторы'!$A$9:$J$103,4,FALSE))</f>
        <v/>
      </c>
      <c r="K112" s="22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Показатели_индикаторы'!$A$9:$J$103,5,FALSE))</f>
        <v/>
      </c>
      <c r="L112" s="22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Показатели_индикаторы'!$A$9:$J$103,6,FALSE))</f>
        <v/>
      </c>
      <c r="M112" s="22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Показатели_индикаторы'!$A$9:$J$103,7,FALSE))</f>
        <v/>
      </c>
      <c r="N112" s="22" t="str">
        <f>IF(OR(Таблица26[[#This Row],[Столбец1]]="",Таблица26[[#This Row],[Столбец5]]="",Таблица26[[#This Row],[Столбец5]]="отсутствует"),"",VLOOKUP(A112,'Р 4. Показатели_индикаторы'!$A$9:$J$103,8,FALSE))</f>
        <v/>
      </c>
      <c r="O112" s="24" t="str">
        <f>IF(VLOOKUP(A112,'Р 1. "Общие сведения"'!$I$8:$L$180,4,FALSE)="","",VLOOKUP(A112,'Р 1. "Общие сведения"'!$I$8:$L$180,4,FALSE))</f>
        <v/>
      </c>
    </row>
    <row r="113">
      <c r="A113" s="16" t="str">
        <f>IF('Р 1. "Общие сведения"'!I114="","",'Р 1. "Общие сведения"'!I114)</f>
        <v xml:space="preserve"> </v>
      </c>
      <c r="B113" s="17" t="str">
        <f>IF('Р 1. "Общие сведения"'!J114="","",'Р 1. "Общие сведения"'!J114)</f>
        <v/>
      </c>
      <c r="C113" s="17" t="str">
        <f>IF('Р 1. "Общие сведения"'!H114="","",'Р 1. "Общие сведения"'!H114)</f>
        <v/>
      </c>
      <c r="D113" s="17" t="str">
        <f>IF('Р 1. "Общие сведения"'!D114="","",'Р 1. "Общие сведения"'!D114)</f>
        <v/>
      </c>
      <c r="E113" s="17" t="str">
        <f>IF('Р 1. "Общие сведения"'!K114="","",'Р 1. "Общие сведения"'!K114)</f>
        <v/>
      </c>
      <c r="F113" s="18" t="str">
        <f>IF(OR(Таблица26[[#This Row],[Столбец1]]="",Таблица26[[#This Row],[Столбец5]]="",),"",VLOOKUP(A113,Таблица9[#All],2,FALSE))</f>
        <v/>
      </c>
      <c r="G113" s="21" t="str">
        <f>IF(OR(Таблица26[[#This Row],[Столбец1]]="",Таблица26[[#This Row],[Столбец5]]=""),"",VLOOKUP(A113,'Р 5. Финансирование'!$A$9:$D$89,3,FALSE))</f>
        <v/>
      </c>
      <c r="H113" s="21" t="str">
        <f>IF(OR(Таблица26[[#This Row],[Столбец1]]="",Таблица26[[#This Row],[Столбец5]]=""),"",VLOOKUP(A113,'Р 5. Финансирование'!$A$9:$D$89,4,FALSE))</f>
        <v/>
      </c>
      <c r="I113" s="22" t="str">
        <f>IF(OR(Таблица26[[#This Row],[Столбец5]]="отсутствует",Таблица26[[#This Row],[Столбец5]]=""),"",VLOOKUP(A113,'Р 4. Показатели_индикаторы'!$A$9:$J$103,3,FALSE))</f>
        <v/>
      </c>
      <c r="J113" s="22" t="str">
        <f>IF(OR(Таблица26[[#This Row],[Столбец5]]="отсутствует",Таблица26[[#This Row],[Столбец5]]=""),"",VLOOKUP(A113,'Р 4. Показатели_индикаторы'!$A$9:$J$103,4,FALSE))</f>
        <v/>
      </c>
      <c r="K113" s="22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Показатели_индикаторы'!$A$9:$J$103,5,FALSE))</f>
        <v/>
      </c>
      <c r="L113" s="22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Показатели_индикаторы'!$A$9:$J$103,6,FALSE))</f>
        <v/>
      </c>
      <c r="M113" s="22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Показатели_индикаторы'!$A$9:$J$103,7,FALSE))</f>
        <v/>
      </c>
      <c r="N113" s="22" t="str">
        <f>IF(OR(Таблица26[[#This Row],[Столбец1]]="",Таблица26[[#This Row],[Столбец5]]="",Таблица26[[#This Row],[Столбец5]]="отсутствует"),"",VLOOKUP(A113,'Р 4. Показатели_индикаторы'!$A$9:$J$103,8,FALSE))</f>
        <v/>
      </c>
      <c r="O113" s="24" t="str">
        <f>IF(VLOOKUP(A113,'Р 1. "Общие сведения"'!$I$8:$L$180,4,FALSE)="","",VLOOKUP(A113,'Р 1. "Общие сведения"'!$I$8:$L$180,4,FALSE))</f>
        <v/>
      </c>
    </row>
    <row r="114">
      <c r="A114" s="16" t="str">
        <f>IF('Р 1. "Общие сведения"'!I115="","",'Р 1. "Общие сведения"'!I115)</f>
        <v xml:space="preserve"> </v>
      </c>
      <c r="B114" s="17" t="str">
        <f>IF('Р 1. "Общие сведения"'!J115="","",'Р 1. "Общие сведения"'!J115)</f>
        <v/>
      </c>
      <c r="C114" s="17" t="str">
        <f>IF('Р 1. "Общие сведения"'!H115="","",'Р 1. "Общие сведения"'!H115)</f>
        <v/>
      </c>
      <c r="D114" s="17" t="str">
        <f>IF('Р 1. "Общие сведения"'!D115="","",'Р 1. "Общие сведения"'!D115)</f>
        <v/>
      </c>
      <c r="E114" s="17" t="str">
        <f>IF('Р 1. "Общие сведения"'!K115="","",'Р 1. "Общие сведения"'!K115)</f>
        <v/>
      </c>
      <c r="F114" s="18" t="str">
        <f>IF(OR(Таблица26[[#This Row],[Столбец1]]="",Таблица26[[#This Row],[Столбец5]]="",),"",VLOOKUP(A114,Таблица9[#All],2,FALSE))</f>
        <v/>
      </c>
      <c r="G114" s="21" t="str">
        <f>IF(OR(Таблица26[[#This Row],[Столбец1]]="",Таблица26[[#This Row],[Столбец5]]=""),"",VLOOKUP(A114,'Р 5. Финансирование'!$A$9:$D$89,3,FALSE))</f>
        <v/>
      </c>
      <c r="H114" s="21" t="str">
        <f>IF(OR(Таблица26[[#This Row],[Столбец1]]="",Таблица26[[#This Row],[Столбец5]]=""),"",VLOOKUP(A114,'Р 5. Финансирование'!$A$9:$D$89,4,FALSE))</f>
        <v/>
      </c>
      <c r="I114" s="22" t="str">
        <f>IF(OR(Таблица26[[#This Row],[Столбец5]]="отсутствует",Таблица26[[#This Row],[Столбец5]]=""),"",VLOOKUP(A114,'Р 4. Показатели_индикаторы'!$A$9:$J$103,3,FALSE))</f>
        <v/>
      </c>
      <c r="J114" s="22" t="str">
        <f>IF(OR(Таблица26[[#This Row],[Столбец5]]="отсутствует",Таблица26[[#This Row],[Столбец5]]=""),"",VLOOKUP(A114,'Р 4. Показатели_индикаторы'!$A$9:$J$103,4,FALSE))</f>
        <v/>
      </c>
      <c r="K114" s="22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Показатели_индикаторы'!$A$9:$J$103,5,FALSE))</f>
        <v/>
      </c>
      <c r="L114" s="22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Показатели_индикаторы'!$A$9:$J$103,6,FALSE))</f>
        <v/>
      </c>
      <c r="M114" s="22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Показатели_индикаторы'!$A$9:$J$103,7,FALSE))</f>
        <v/>
      </c>
      <c r="N114" s="22" t="str">
        <f>IF(OR(Таблица26[[#This Row],[Столбец1]]="",Таблица26[[#This Row],[Столбец5]]="",Таблица26[[#This Row],[Столбец5]]="отсутствует"),"",VLOOKUP(A114,'Р 4. Показатели_индикаторы'!$A$9:$J$103,8,FALSE))</f>
        <v/>
      </c>
      <c r="O114" s="24" t="str">
        <f>IF(VLOOKUP(A114,'Р 1. "Общие сведения"'!$I$8:$L$180,4,FALSE)="","",VLOOKUP(A114,'Р 1. "Общие сведения"'!$I$8:$L$180,4,FALSE))</f>
        <v/>
      </c>
    </row>
    <row r="115">
      <c r="A115" s="16" t="str">
        <f>IF('Р 1. "Общие сведения"'!I116="","",'Р 1. "Общие сведения"'!I116)</f>
        <v xml:space="preserve"> </v>
      </c>
      <c r="B115" s="17" t="str">
        <f>IF('Р 1. "Общие сведения"'!J116="","",'Р 1. "Общие сведения"'!J116)</f>
        <v/>
      </c>
      <c r="C115" s="17" t="str">
        <f>IF('Р 1. "Общие сведения"'!H116="","",'Р 1. "Общие сведения"'!H116)</f>
        <v/>
      </c>
      <c r="D115" s="17" t="str">
        <f>IF('Р 1. "Общие сведения"'!D116="","",'Р 1. "Общие сведения"'!D116)</f>
        <v/>
      </c>
      <c r="E115" s="17" t="str">
        <f>IF('Р 1. "Общие сведения"'!K116="","",'Р 1. "Общие сведения"'!K116)</f>
        <v/>
      </c>
      <c r="F115" s="18" t="str">
        <f>IF(OR(Таблица26[[#This Row],[Столбец1]]="",Таблица26[[#This Row],[Столбец5]]="",),"",VLOOKUP(A115,Таблица9[#All],2,FALSE))</f>
        <v/>
      </c>
      <c r="G115" s="21" t="str">
        <f>IF(OR(Таблица26[[#This Row],[Столбец1]]="",Таблица26[[#This Row],[Столбец5]]=""),"",VLOOKUP(A115,'Р 5. Финансирование'!$A$9:$D$89,3,FALSE))</f>
        <v/>
      </c>
      <c r="H115" s="21" t="str">
        <f>IF(OR(Таблица26[[#This Row],[Столбец1]]="",Таблица26[[#This Row],[Столбец5]]=""),"",VLOOKUP(A115,'Р 5. Финансирование'!$A$9:$D$89,4,FALSE))</f>
        <v/>
      </c>
      <c r="I115" s="22" t="str">
        <f>IF(OR(Таблица26[[#This Row],[Столбец5]]="отсутствует",Таблица26[[#This Row],[Столбец5]]=""),"",VLOOKUP(A115,'Р 4. Показатели_индикаторы'!$A$9:$J$103,3,FALSE))</f>
        <v/>
      </c>
      <c r="J115" s="22" t="str">
        <f>IF(OR(Таблица26[[#This Row],[Столбец5]]="отсутствует",Таблица26[[#This Row],[Столбец5]]=""),"",VLOOKUP(A115,'Р 4. Показатели_индикаторы'!$A$9:$J$103,4,FALSE))</f>
        <v/>
      </c>
      <c r="K115" s="22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Показатели_индикаторы'!$A$9:$J$103,5,FALSE))</f>
        <v/>
      </c>
      <c r="L115" s="22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Показатели_индикаторы'!$A$9:$J$103,6,FALSE))</f>
        <v/>
      </c>
      <c r="M115" s="22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Показатели_индикаторы'!$A$9:$J$103,7,FALSE))</f>
        <v/>
      </c>
      <c r="N115" s="22" t="str">
        <f>IF(OR(Таблица26[[#This Row],[Столбец1]]="",Таблица26[[#This Row],[Столбец5]]="",Таблица26[[#This Row],[Столбец5]]="отсутствует"),"",VLOOKUP(A115,'Р 4. Показатели_индикаторы'!$A$9:$J$103,8,FALSE))</f>
        <v/>
      </c>
      <c r="O115" s="24" t="str">
        <f>IF(VLOOKUP(A115,'Р 1. "Общие сведения"'!$I$8:$L$180,4,FALSE)="","",VLOOKUP(A115,'Р 1. "Общие сведения"'!$I$8:$L$180,4,FALSE))</f>
        <v/>
      </c>
    </row>
    <row r="116">
      <c r="A116" s="16" t="str">
        <f>IF('Р 1. "Общие сведения"'!I117="","",'Р 1. "Общие сведения"'!I117)</f>
        <v xml:space="preserve"> </v>
      </c>
      <c r="B116" s="17" t="str">
        <f>IF('Р 1. "Общие сведения"'!J117="","",'Р 1. "Общие сведения"'!J117)</f>
        <v/>
      </c>
      <c r="C116" s="17" t="str">
        <f>IF('Р 1. "Общие сведения"'!H117="","",'Р 1. "Общие сведения"'!H117)</f>
        <v/>
      </c>
      <c r="D116" s="17" t="str">
        <f>IF('Р 1. "Общие сведения"'!D117="","",'Р 1. "Общие сведения"'!D117)</f>
        <v/>
      </c>
      <c r="E116" s="17" t="str">
        <f>IF('Р 1. "Общие сведения"'!K117="","",'Р 1. "Общие сведения"'!K117)</f>
        <v/>
      </c>
      <c r="F116" s="18" t="str">
        <f>IF(OR(Таблица26[[#This Row],[Столбец1]]="",Таблица26[[#This Row],[Столбец5]]="",),"",VLOOKUP(A116,Таблица9[#All],2,FALSE))</f>
        <v/>
      </c>
      <c r="G116" s="21" t="str">
        <f>IF(OR(Таблица26[[#This Row],[Столбец1]]="",Таблица26[[#This Row],[Столбец5]]=""),"",VLOOKUP(A116,'Р 5. Финансирование'!$A$9:$D$89,3,FALSE))</f>
        <v/>
      </c>
      <c r="H116" s="21" t="str">
        <f>IF(OR(Таблица26[[#This Row],[Столбец1]]="",Таблица26[[#This Row],[Столбец5]]=""),"",VLOOKUP(A116,'Р 5. Финансирование'!$A$9:$D$89,4,FALSE))</f>
        <v/>
      </c>
      <c r="I116" s="22" t="str">
        <f>IF(OR(Таблица26[[#This Row],[Столбец5]]="отсутствует",Таблица26[[#This Row],[Столбец5]]=""),"",VLOOKUP(A116,'Р 4. Показатели_индикаторы'!$A$9:$J$103,3,FALSE))</f>
        <v/>
      </c>
      <c r="J116" s="22" t="str">
        <f>IF(OR(Таблица26[[#This Row],[Столбец5]]="отсутствует",Таблица26[[#This Row],[Столбец5]]=""),"",VLOOKUP(A116,'Р 4. Показатели_индикаторы'!$A$9:$J$103,4,FALSE))</f>
        <v/>
      </c>
      <c r="K116" s="22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Показатели_индикаторы'!$A$9:$J$103,5,FALSE))</f>
        <v/>
      </c>
      <c r="L116" s="22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Показатели_индикаторы'!$A$9:$J$103,6,FALSE))</f>
        <v/>
      </c>
      <c r="M116" s="22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Показатели_индикаторы'!$A$9:$J$103,7,FALSE))</f>
        <v/>
      </c>
      <c r="N116" s="22" t="str">
        <f>IF(OR(Таблица26[[#This Row],[Столбец1]]="",Таблица26[[#This Row],[Столбец5]]="",Таблица26[[#This Row],[Столбец5]]="отсутствует"),"",VLOOKUP(A116,'Р 4. Показатели_индикаторы'!$A$9:$J$103,8,FALSE))</f>
        <v/>
      </c>
      <c r="O116" s="24" t="str">
        <f>IF(VLOOKUP(A116,'Р 1. "Общие сведения"'!$I$8:$L$180,4,FALSE)="","",VLOOKUP(A116,'Р 1. "Общие сведения"'!$I$8:$L$180,4,FALSE))</f>
        <v/>
      </c>
    </row>
    <row r="117">
      <c r="A117" s="16" t="str">
        <f>IF('Р 1. "Общие сведения"'!I118="","",'Р 1. "Общие сведения"'!I118)</f>
        <v xml:space="preserve"> </v>
      </c>
      <c r="B117" s="17" t="str">
        <f>IF('Р 1. "Общие сведения"'!J118="","",'Р 1. "Общие сведения"'!J118)</f>
        <v/>
      </c>
      <c r="C117" s="17" t="str">
        <f>IF('Р 1. "Общие сведения"'!H118="","",'Р 1. "Общие сведения"'!H118)</f>
        <v/>
      </c>
      <c r="D117" s="17" t="str">
        <f>IF('Р 1. "Общие сведения"'!D118="","",'Р 1. "Общие сведения"'!D118)</f>
        <v/>
      </c>
      <c r="E117" s="17" t="str">
        <f>IF('Р 1. "Общие сведения"'!K118="","",'Р 1. "Общие сведения"'!K118)</f>
        <v/>
      </c>
      <c r="F117" s="18" t="str">
        <f>IF(OR(Таблица26[[#This Row],[Столбец1]]="",Таблица26[[#This Row],[Столбец5]]="",),"",VLOOKUP(A117,Таблица9[#All],2,FALSE))</f>
        <v/>
      </c>
      <c r="G117" s="21" t="str">
        <f>IF(OR(Таблица26[[#This Row],[Столбец1]]="",Таблица26[[#This Row],[Столбец5]]=""),"",VLOOKUP(A117,'Р 5. Финансирование'!$A$9:$D$89,3,FALSE))</f>
        <v/>
      </c>
      <c r="H117" s="21" t="str">
        <f>IF(OR(Таблица26[[#This Row],[Столбец1]]="",Таблица26[[#This Row],[Столбец5]]=""),"",VLOOKUP(A117,'Р 5. Финансирование'!$A$9:$D$89,4,FALSE))</f>
        <v/>
      </c>
      <c r="I117" s="22" t="str">
        <f>IF(OR(Таблица26[[#This Row],[Столбец5]]="отсутствует",Таблица26[[#This Row],[Столбец5]]=""),"",VLOOKUP(A117,'Р 4. Показатели_индикаторы'!$A$9:$J$103,3,FALSE))</f>
        <v/>
      </c>
      <c r="J117" s="22" t="str">
        <f>IF(OR(Таблица26[[#This Row],[Столбец5]]="отсутствует",Таблица26[[#This Row],[Столбец5]]=""),"",VLOOKUP(A117,'Р 4. Показатели_индикаторы'!$A$9:$J$103,4,FALSE))</f>
        <v/>
      </c>
      <c r="K117" s="22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Показатели_индикаторы'!$A$9:$J$103,5,FALSE))</f>
        <v/>
      </c>
      <c r="L117" s="22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Показатели_индикаторы'!$A$9:$J$103,6,FALSE))</f>
        <v/>
      </c>
      <c r="M117" s="22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Показатели_индикаторы'!$A$9:$J$103,7,FALSE))</f>
        <v/>
      </c>
      <c r="N117" s="22" t="str">
        <f>IF(OR(Таблица26[[#This Row],[Столбец1]]="",Таблица26[[#This Row],[Столбец5]]="",Таблица26[[#This Row],[Столбец5]]="отсутствует"),"",VLOOKUP(A117,'Р 4. Показатели_индикаторы'!$A$9:$J$103,8,FALSE))</f>
        <v/>
      </c>
      <c r="O117" s="24" t="str">
        <f>IF(VLOOKUP(A117,'Р 1. "Общие сведения"'!$I$8:$L$180,4,FALSE)="","",VLOOKUP(A117,'Р 1. "Общие сведения"'!$I$8:$L$180,4,FALSE))</f>
        <v/>
      </c>
    </row>
    <row r="118">
      <c r="A118" s="16" t="str">
        <f>IF('Р 1. "Общие сведения"'!I119="","",'Р 1. "Общие сведения"'!I119)</f>
        <v xml:space="preserve"> </v>
      </c>
      <c r="B118" s="17" t="str">
        <f>IF('Р 1. "Общие сведения"'!J119="","",'Р 1. "Общие сведения"'!J119)</f>
        <v/>
      </c>
      <c r="C118" s="17" t="str">
        <f>IF('Р 1. "Общие сведения"'!H119="","",'Р 1. "Общие сведения"'!H119)</f>
        <v/>
      </c>
      <c r="D118" s="17" t="str">
        <f>IF('Р 1. "Общие сведения"'!D119="","",'Р 1. "Общие сведения"'!D119)</f>
        <v/>
      </c>
      <c r="E118" s="17" t="str">
        <f>IF('Р 1. "Общие сведения"'!K119="","",'Р 1. "Общие сведения"'!K119)</f>
        <v/>
      </c>
      <c r="F118" s="18" t="str">
        <f>IF(OR(Таблица26[[#This Row],[Столбец1]]="",Таблица26[[#This Row],[Столбец5]]="",),"",VLOOKUP(A118,Таблица9[#All],2,FALSE))</f>
        <v/>
      </c>
      <c r="G118" s="21" t="str">
        <f>IF(OR(Таблица26[[#This Row],[Столбец1]]="",Таблица26[[#This Row],[Столбец5]]=""),"",VLOOKUP(A118,'Р 5. Финансирование'!$A$9:$D$89,3,FALSE))</f>
        <v/>
      </c>
      <c r="H118" s="21" t="str">
        <f>IF(OR(Таблица26[[#This Row],[Столбец1]]="",Таблица26[[#This Row],[Столбец5]]=""),"",VLOOKUP(A118,'Р 5. Финансирование'!$A$9:$D$89,4,FALSE))</f>
        <v/>
      </c>
      <c r="I118" s="22" t="str">
        <f>IF(OR(Таблица26[[#This Row],[Столбец5]]="отсутствует",Таблица26[[#This Row],[Столбец5]]=""),"",VLOOKUP(A118,'Р 4. Показатели_индикаторы'!$A$9:$J$103,3,FALSE))</f>
        <v/>
      </c>
      <c r="J118" s="22" t="str">
        <f>IF(OR(Таблица26[[#This Row],[Столбец5]]="отсутствует",Таблица26[[#This Row],[Столбец5]]=""),"",VLOOKUP(A118,'Р 4. Показатели_индикаторы'!$A$9:$J$103,4,FALSE))</f>
        <v/>
      </c>
      <c r="K118" s="22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Показатели_индикаторы'!$A$9:$J$103,5,FALSE))</f>
        <v/>
      </c>
      <c r="L118" s="22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Показатели_индикаторы'!$A$9:$J$103,6,FALSE))</f>
        <v/>
      </c>
      <c r="M118" s="22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Показатели_индикаторы'!$A$9:$J$103,7,FALSE))</f>
        <v/>
      </c>
      <c r="N118" s="22" t="str">
        <f>IF(OR(Таблица26[[#This Row],[Столбец1]]="",Таблица26[[#This Row],[Столбец5]]="",Таблица26[[#This Row],[Столбец5]]="отсутствует"),"",VLOOKUP(A118,'Р 4. Показатели_индикаторы'!$A$9:$J$103,8,FALSE))</f>
        <v/>
      </c>
      <c r="O118" s="24" t="str">
        <f>IF(VLOOKUP(A118,'Р 1. "Общие сведения"'!$I$8:$L$180,4,FALSE)="","",VLOOKUP(A118,'Р 1. "Общие сведения"'!$I$8:$L$180,4,FALSE))</f>
        <v/>
      </c>
    </row>
    <row r="119">
      <c r="A119" s="16" t="str">
        <f>IF('Р 1. "Общие сведения"'!I120="","",'Р 1. "Общие сведения"'!I120)</f>
        <v xml:space="preserve"> </v>
      </c>
      <c r="B119" s="17" t="str">
        <f>IF('Р 1. "Общие сведения"'!J120="","",'Р 1. "Общие сведения"'!J120)</f>
        <v/>
      </c>
      <c r="C119" s="17" t="str">
        <f>IF('Р 1. "Общие сведения"'!H120="","",'Р 1. "Общие сведения"'!H120)</f>
        <v/>
      </c>
      <c r="D119" s="17" t="str">
        <f>IF('Р 1. "Общие сведения"'!D120="","",'Р 1. "Общие сведения"'!D120)</f>
        <v/>
      </c>
      <c r="E119" s="17" t="str">
        <f>IF('Р 1. "Общие сведения"'!K120="","",'Р 1. "Общие сведения"'!K120)</f>
        <v/>
      </c>
      <c r="F119" s="18" t="str">
        <f>IF(OR(Таблица26[[#This Row],[Столбец1]]="",Таблица26[[#This Row],[Столбец5]]="",),"",VLOOKUP(A119,Таблица9[#All],2,FALSE))</f>
        <v/>
      </c>
      <c r="G119" s="21" t="str">
        <f>IF(OR(Таблица26[[#This Row],[Столбец1]]="",Таблица26[[#This Row],[Столбец5]]=""),"",VLOOKUP(A119,'Р 5. Финансирование'!$A$9:$D$89,3,FALSE))</f>
        <v/>
      </c>
      <c r="H119" s="21" t="str">
        <f>IF(OR(Таблица26[[#This Row],[Столбец1]]="",Таблица26[[#This Row],[Столбец5]]=""),"",VLOOKUP(A119,'Р 5. Финансирование'!$A$9:$D$89,4,FALSE))</f>
        <v/>
      </c>
      <c r="I119" s="22" t="str">
        <f>IF(OR(Таблица26[[#This Row],[Столбец5]]="отсутствует",Таблица26[[#This Row],[Столбец5]]=""),"",VLOOKUP(A119,'Р 4. Показатели_индикаторы'!$A$9:$J$103,3,FALSE))</f>
        <v/>
      </c>
      <c r="J119" s="22" t="str">
        <f>IF(OR(Таблица26[[#This Row],[Столбец5]]="отсутствует",Таблица26[[#This Row],[Столбец5]]=""),"",VLOOKUP(A119,'Р 4. Показатели_индикаторы'!$A$9:$J$103,4,FALSE))</f>
        <v/>
      </c>
      <c r="K119" s="22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Показатели_индикаторы'!$A$9:$J$103,5,FALSE))</f>
        <v/>
      </c>
      <c r="L119" s="22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Показатели_индикаторы'!$A$9:$J$103,6,FALSE))</f>
        <v/>
      </c>
      <c r="M119" s="22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Показатели_индикаторы'!$A$9:$J$103,7,FALSE))</f>
        <v/>
      </c>
      <c r="N119" s="22" t="str">
        <f>IF(OR(Таблица26[[#This Row],[Столбец1]]="",Таблица26[[#This Row],[Столбец5]]="",Таблица26[[#This Row],[Столбец5]]="отсутствует"),"",VLOOKUP(A119,'Р 4. Показатели_индикаторы'!$A$9:$J$103,8,FALSE))</f>
        <v/>
      </c>
      <c r="O119" s="24" t="str">
        <f>IF(VLOOKUP(A119,'Р 1. "Общие сведения"'!$I$8:$L$180,4,FALSE)="","",VLOOKUP(A119,'Р 1. "Общие сведения"'!$I$8:$L$180,4,FALSE))</f>
        <v/>
      </c>
    </row>
    <row r="120">
      <c r="A120" s="16" t="str">
        <f>IF('Р 1. "Общие сведения"'!I121="","",'Р 1. "Общие сведения"'!I121)</f>
        <v xml:space="preserve"> </v>
      </c>
      <c r="B120" s="17" t="str">
        <f>IF('Р 1. "Общие сведения"'!J121="","",'Р 1. "Общие сведения"'!J121)</f>
        <v/>
      </c>
      <c r="C120" s="17" t="str">
        <f>IF('Р 1. "Общие сведения"'!H121="","",'Р 1. "Общие сведения"'!H121)</f>
        <v/>
      </c>
      <c r="D120" s="17" t="str">
        <f>IF('Р 1. "Общие сведения"'!D121="","",'Р 1. "Общие сведения"'!D121)</f>
        <v/>
      </c>
      <c r="E120" s="17" t="str">
        <f>IF('Р 1. "Общие сведения"'!K121="","",'Р 1. "Общие сведения"'!K121)</f>
        <v/>
      </c>
      <c r="F120" s="18" t="str">
        <f>IF(OR(Таблица26[[#This Row],[Столбец1]]="",Таблица26[[#This Row],[Столбец5]]="",),"",VLOOKUP(A120,Таблица9[#All],2,FALSE))</f>
        <v/>
      </c>
      <c r="G120" s="21" t="str">
        <f>IF(OR(Таблица26[[#This Row],[Столбец1]]="",Таблица26[[#This Row],[Столбец5]]=""),"",VLOOKUP(A120,'Р 5. Финансирование'!$A$9:$D$89,3,FALSE))</f>
        <v/>
      </c>
      <c r="H120" s="21" t="str">
        <f>IF(OR(Таблица26[[#This Row],[Столбец1]]="",Таблица26[[#This Row],[Столбец5]]=""),"",VLOOKUP(A120,'Р 5. Финансирование'!$A$9:$D$89,4,FALSE))</f>
        <v/>
      </c>
      <c r="I120" s="22" t="str">
        <f>IF(OR(Таблица26[[#This Row],[Столбец5]]="отсутствует",Таблица26[[#This Row],[Столбец5]]=""),"",VLOOKUP(A120,'Р 4. Показатели_индикаторы'!$A$9:$J$103,3,FALSE))</f>
        <v/>
      </c>
      <c r="J120" s="22" t="str">
        <f>IF(OR(Таблица26[[#This Row],[Столбец5]]="отсутствует",Таблица26[[#This Row],[Столбец5]]=""),"",VLOOKUP(A120,'Р 4. Показатели_индикаторы'!$A$9:$J$103,4,FALSE))</f>
        <v/>
      </c>
      <c r="K120" s="22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Показатели_индикаторы'!$A$9:$J$103,5,FALSE))</f>
        <v/>
      </c>
      <c r="L120" s="22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Показатели_индикаторы'!$A$9:$J$103,6,FALSE))</f>
        <v/>
      </c>
      <c r="M120" s="22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Показатели_индикаторы'!$A$9:$J$103,7,FALSE))</f>
        <v/>
      </c>
      <c r="N120" s="22" t="str">
        <f>IF(OR(Таблица26[[#This Row],[Столбец1]]="",Таблица26[[#This Row],[Столбец5]]="",Таблица26[[#This Row],[Столбец5]]="отсутствует"),"",VLOOKUP(A120,'Р 4. Показатели_индикаторы'!$A$9:$J$103,8,FALSE))</f>
        <v/>
      </c>
      <c r="O120" s="24" t="str">
        <f>IF(VLOOKUP(A120,'Р 1. "Общие сведения"'!$I$8:$L$180,4,FALSE)="","",VLOOKUP(A120,'Р 1. "Общие сведения"'!$I$8:$L$180,4,FALSE))</f>
        <v/>
      </c>
    </row>
    <row r="121">
      <c r="A121" s="16" t="str">
        <f>IF('Р 1. "Общие сведения"'!I122="","",'Р 1. "Общие сведения"'!I122)</f>
        <v xml:space="preserve"> </v>
      </c>
      <c r="B121" s="17" t="str">
        <f>IF('Р 1. "Общие сведения"'!J122="","",'Р 1. "Общие сведения"'!J122)</f>
        <v/>
      </c>
      <c r="C121" s="17" t="str">
        <f>IF('Р 1. "Общие сведения"'!H122="","",'Р 1. "Общие сведения"'!H122)</f>
        <v/>
      </c>
      <c r="D121" s="17" t="str">
        <f>IF('Р 1. "Общие сведения"'!D122="","",'Р 1. "Общие сведения"'!D122)</f>
        <v/>
      </c>
      <c r="E121" s="17" t="str">
        <f>IF('Р 1. "Общие сведения"'!K122="","",'Р 1. "Общие сведения"'!K122)</f>
        <v/>
      </c>
      <c r="F121" s="18" t="str">
        <f>IF(OR(Таблица26[[#This Row],[Столбец1]]="",Таблица26[[#This Row],[Столбец5]]="",),"",VLOOKUP(A121,Таблица9[#All],2,FALSE))</f>
        <v/>
      </c>
      <c r="G121" s="21" t="str">
        <f>IF(OR(Таблица26[[#This Row],[Столбец1]]="",Таблица26[[#This Row],[Столбец5]]=""),"",VLOOKUP(A121,'Р 5. Финансирование'!$A$9:$D$89,3,FALSE))</f>
        <v/>
      </c>
      <c r="H121" s="21" t="str">
        <f>IF(OR(Таблица26[[#This Row],[Столбец1]]="",Таблица26[[#This Row],[Столбец5]]=""),"",VLOOKUP(A121,'Р 5. Финансирование'!$A$9:$D$89,4,FALSE))</f>
        <v/>
      </c>
      <c r="I121" s="22" t="str">
        <f>IF(OR(Таблица26[[#This Row],[Столбец5]]="отсутствует",Таблица26[[#This Row],[Столбец5]]=""),"",VLOOKUP(A121,'Р 4. Показатели_индикаторы'!$A$9:$J$103,3,FALSE))</f>
        <v/>
      </c>
      <c r="J121" s="22" t="str">
        <f>IF(OR(Таблица26[[#This Row],[Столбец5]]="отсутствует",Таблица26[[#This Row],[Столбец5]]=""),"",VLOOKUP(A121,'Р 4. Показатели_индикаторы'!$A$9:$J$103,4,FALSE))</f>
        <v/>
      </c>
      <c r="K121" s="22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Показатели_индикаторы'!$A$9:$J$103,5,FALSE))</f>
        <v/>
      </c>
      <c r="L121" s="22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Показатели_индикаторы'!$A$9:$J$103,6,FALSE))</f>
        <v/>
      </c>
      <c r="M121" s="22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Показатели_индикаторы'!$A$9:$J$103,7,FALSE))</f>
        <v/>
      </c>
      <c r="N121" s="22" t="str">
        <f>IF(OR(Таблица26[[#This Row],[Столбец1]]="",Таблица26[[#This Row],[Столбец5]]="",Таблица26[[#This Row],[Столбец5]]="отсутствует"),"",VLOOKUP(A121,'Р 4. Показатели_индикаторы'!$A$9:$J$103,8,FALSE))</f>
        <v/>
      </c>
      <c r="O121" s="24" t="str">
        <f>IF(VLOOKUP(A121,'Р 1. "Общие сведения"'!$I$8:$L$180,4,FALSE)="","",VLOOKUP(A121,'Р 1. "Общие сведения"'!$I$8:$L$180,4,FALSE))</f>
        <v/>
      </c>
    </row>
    <row r="122">
      <c r="A122" s="16" t="str">
        <f>IF('Р 1. "Общие сведения"'!I123="","",'Р 1. "Общие сведения"'!I123)</f>
        <v xml:space="preserve"> </v>
      </c>
      <c r="B122" s="17" t="str">
        <f>IF('Р 1. "Общие сведения"'!J123="","",'Р 1. "Общие сведения"'!J123)</f>
        <v/>
      </c>
      <c r="C122" s="17" t="str">
        <f>IF('Р 1. "Общие сведения"'!H123="","",'Р 1. "Общие сведения"'!H123)</f>
        <v/>
      </c>
      <c r="D122" s="17" t="str">
        <f>IF('Р 1. "Общие сведения"'!D123="","",'Р 1. "Общие сведения"'!D123)</f>
        <v/>
      </c>
      <c r="E122" s="17" t="str">
        <f>IF('Р 1. "Общие сведения"'!K123="","",'Р 1. "Общие сведения"'!K123)</f>
        <v/>
      </c>
      <c r="F122" s="18" t="str">
        <f>IF(OR(Таблица26[[#This Row],[Столбец1]]="",Таблица26[[#This Row],[Столбец5]]="",),"",VLOOKUP(A122,Таблица9[#All],2,FALSE))</f>
        <v/>
      </c>
      <c r="G122" s="21" t="str">
        <f>IF(OR(Таблица26[[#This Row],[Столбец1]]="",Таблица26[[#This Row],[Столбец5]]=""),"",VLOOKUP(A122,'Р 5. Финансирование'!$A$9:$D$89,3,FALSE))</f>
        <v/>
      </c>
      <c r="H122" s="21" t="str">
        <f>IF(OR(Таблица26[[#This Row],[Столбец1]]="",Таблица26[[#This Row],[Столбец5]]=""),"",VLOOKUP(A122,'Р 5. Финансирование'!$A$9:$D$89,4,FALSE))</f>
        <v/>
      </c>
      <c r="I122" s="22" t="str">
        <f>IF(OR(Таблица26[[#This Row],[Столбец5]]="отсутствует",Таблица26[[#This Row],[Столбец5]]=""),"",VLOOKUP(A122,'Р 4. Показатели_индикаторы'!$A$9:$J$103,3,FALSE))</f>
        <v/>
      </c>
      <c r="J122" s="22" t="str">
        <f>IF(OR(Таблица26[[#This Row],[Столбец5]]="отсутствует",Таблица26[[#This Row],[Столбец5]]=""),"",VLOOKUP(A122,'Р 4. Показатели_индикаторы'!$A$9:$J$103,4,FALSE))</f>
        <v/>
      </c>
      <c r="K122" s="22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Показатели_индикаторы'!$A$9:$J$103,5,FALSE))</f>
        <v/>
      </c>
      <c r="L122" s="22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Показатели_индикаторы'!$A$9:$J$103,6,FALSE))</f>
        <v/>
      </c>
      <c r="M122" s="22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Показатели_индикаторы'!$A$9:$J$103,7,FALSE))</f>
        <v/>
      </c>
      <c r="N122" s="22" t="str">
        <f>IF(OR(Таблица26[[#This Row],[Столбец1]]="",Таблица26[[#This Row],[Столбец5]]="",Таблица26[[#This Row],[Столбец5]]="отсутствует"),"",VLOOKUP(A122,'Р 4. Показатели_индикаторы'!$A$9:$J$103,8,FALSE))</f>
        <v/>
      </c>
      <c r="O122" s="24" t="str">
        <f>IF(VLOOKUP(A122,'Р 1. "Общие сведения"'!$I$8:$L$180,4,FALSE)="","",VLOOKUP(A122,'Р 1. "Общие сведения"'!$I$8:$L$180,4,FALSE))</f>
        <v/>
      </c>
    </row>
    <row r="123">
      <c r="A123" s="16" t="str">
        <f>IF('Р 1. "Общие сведения"'!I124="","",'Р 1. "Общие сведения"'!I124)</f>
        <v xml:space="preserve"> </v>
      </c>
      <c r="B123" s="17" t="str">
        <f>IF('Р 1. "Общие сведения"'!J124="","",'Р 1. "Общие сведения"'!J124)</f>
        <v/>
      </c>
      <c r="C123" s="17" t="str">
        <f>IF('Р 1. "Общие сведения"'!H124="","",'Р 1. "Общие сведения"'!H124)</f>
        <v/>
      </c>
      <c r="D123" s="17" t="str">
        <f>IF('Р 1. "Общие сведения"'!D124="","",'Р 1. "Общие сведения"'!D124)</f>
        <v/>
      </c>
      <c r="E123" s="17" t="str">
        <f>IF('Р 1. "Общие сведения"'!K124="","",'Р 1. "Общие сведения"'!K124)</f>
        <v/>
      </c>
      <c r="F123" s="18" t="str">
        <f>IF(OR(Таблица26[[#This Row],[Столбец1]]="",Таблица26[[#This Row],[Столбец5]]="",),"",VLOOKUP(A123,Таблица9[#All],2,FALSE))</f>
        <v/>
      </c>
      <c r="G123" s="21" t="str">
        <f>IF(OR(Таблица26[[#This Row],[Столбец1]]="",Таблица26[[#This Row],[Столбец5]]=""),"",VLOOKUP(A123,'Р 5. Финансирование'!$A$9:$D$89,3,FALSE))</f>
        <v/>
      </c>
      <c r="H123" s="21" t="str">
        <f>IF(OR(Таблица26[[#This Row],[Столбец1]]="",Таблица26[[#This Row],[Столбец5]]=""),"",VLOOKUP(A123,'Р 5. Финансирование'!$A$9:$D$89,4,FALSE))</f>
        <v/>
      </c>
      <c r="I123" s="22" t="str">
        <f>IF(OR(Таблица26[[#This Row],[Столбец5]]="отсутствует",Таблица26[[#This Row],[Столбец5]]=""),"",VLOOKUP(A123,'Р 4. Показатели_индикаторы'!$A$9:$J$103,3,FALSE))</f>
        <v/>
      </c>
      <c r="J123" s="22" t="str">
        <f>IF(OR(Таблица26[[#This Row],[Столбец5]]="отсутствует",Таблица26[[#This Row],[Столбец5]]=""),"",VLOOKUP(A123,'Р 4. Показатели_индикаторы'!$A$9:$J$103,4,FALSE))</f>
        <v/>
      </c>
      <c r="K123" s="22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Показатели_индикаторы'!$A$9:$J$103,5,FALSE))</f>
        <v/>
      </c>
      <c r="L123" s="22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Показатели_индикаторы'!$A$9:$J$103,6,FALSE))</f>
        <v/>
      </c>
      <c r="M123" s="22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Показатели_индикаторы'!$A$9:$J$103,7,FALSE))</f>
        <v/>
      </c>
      <c r="N123" s="22" t="str">
        <f>IF(OR(Таблица26[[#This Row],[Столбец1]]="",Таблица26[[#This Row],[Столбец5]]="",Таблица26[[#This Row],[Столбец5]]="отсутствует"),"",VLOOKUP(A123,'Р 4. Показатели_индикаторы'!$A$9:$J$103,8,FALSE))</f>
        <v/>
      </c>
      <c r="O123" s="24" t="str">
        <f>IF(VLOOKUP(A123,'Р 1. "Общие сведения"'!$I$8:$L$180,4,FALSE)="","",VLOOKUP(A123,'Р 1. "Общие сведения"'!$I$8:$L$180,4,FALSE))</f>
        <v/>
      </c>
    </row>
    <row r="124">
      <c r="A124" s="16" t="str">
        <f>IF('Р 1. "Общие сведения"'!I125="","",'Р 1. "Общие сведения"'!I125)</f>
        <v xml:space="preserve"> </v>
      </c>
      <c r="B124" s="17" t="str">
        <f>IF('Р 1. "Общие сведения"'!J125="","",'Р 1. "Общие сведения"'!J125)</f>
        <v/>
      </c>
      <c r="C124" s="17" t="str">
        <f>IF('Р 1. "Общие сведения"'!H125="","",'Р 1. "Общие сведения"'!H125)</f>
        <v/>
      </c>
      <c r="D124" s="17" t="str">
        <f>IF('Р 1. "Общие сведения"'!D125="","",'Р 1. "Общие сведения"'!D125)</f>
        <v/>
      </c>
      <c r="E124" s="17" t="str">
        <f>IF('Р 1. "Общие сведения"'!K125="","",'Р 1. "Общие сведения"'!K125)</f>
        <v/>
      </c>
      <c r="F124" s="18" t="str">
        <f>IF(OR(Таблица26[[#This Row],[Столбец1]]="",Таблица26[[#This Row],[Столбец5]]="",),"",VLOOKUP(A124,Таблица9[#All],2,FALSE))</f>
        <v/>
      </c>
      <c r="G124" s="21" t="str">
        <f>IF(OR(Таблица26[[#This Row],[Столбец1]]="",Таблица26[[#This Row],[Столбец5]]=""),"",VLOOKUP(A124,'Р 5. Финансирование'!$A$9:$D$89,3,FALSE))</f>
        <v/>
      </c>
      <c r="H124" s="21" t="str">
        <f>IF(OR(Таблица26[[#This Row],[Столбец1]]="",Таблица26[[#This Row],[Столбец5]]=""),"",VLOOKUP(A124,'Р 5. Финансирование'!$A$9:$D$89,4,FALSE))</f>
        <v/>
      </c>
      <c r="I124" s="22" t="str">
        <f>IF(OR(Таблица26[[#This Row],[Столбец5]]="отсутствует",Таблица26[[#This Row],[Столбец5]]=""),"",VLOOKUP(A124,'Р 4. Показатели_индикаторы'!$A$9:$J$103,3,FALSE))</f>
        <v/>
      </c>
      <c r="J124" s="22" t="str">
        <f>IF(OR(Таблица26[[#This Row],[Столбец5]]="отсутствует",Таблица26[[#This Row],[Столбец5]]=""),"",VLOOKUP(A124,'Р 4. Показатели_индикаторы'!$A$9:$J$103,4,FALSE))</f>
        <v/>
      </c>
      <c r="K124" s="22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Показатели_индикаторы'!$A$9:$J$103,5,FALSE))</f>
        <v/>
      </c>
      <c r="L124" s="22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Показатели_индикаторы'!$A$9:$J$103,6,FALSE))</f>
        <v/>
      </c>
      <c r="M124" s="22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Показатели_индикаторы'!$A$9:$J$103,7,FALSE))</f>
        <v/>
      </c>
      <c r="N124" s="22" t="str">
        <f>IF(OR(Таблица26[[#This Row],[Столбец1]]="",Таблица26[[#This Row],[Столбец5]]="",Таблица26[[#This Row],[Столбец5]]="отсутствует"),"",VLOOKUP(A124,'Р 4. Показатели_индикаторы'!$A$9:$J$103,8,FALSE))</f>
        <v/>
      </c>
      <c r="O124" s="24" t="str">
        <f>IF(VLOOKUP(A124,'Р 1. "Общие сведения"'!$I$8:$L$180,4,FALSE)="","",VLOOKUP(A124,'Р 1. "Общие сведения"'!$I$8:$L$180,4,FALSE))</f>
        <v/>
      </c>
    </row>
    <row r="125">
      <c r="A125" s="16" t="str">
        <f>IF('Р 1. "Общие сведения"'!I126="","",'Р 1. "Общие сведения"'!I126)</f>
        <v xml:space="preserve"> </v>
      </c>
      <c r="B125" s="17" t="str">
        <f>IF('Р 1. "Общие сведения"'!J126="","",'Р 1. "Общие сведения"'!J126)</f>
        <v/>
      </c>
      <c r="C125" s="17" t="str">
        <f>IF('Р 1. "Общие сведения"'!H126="","",'Р 1. "Общие сведения"'!H126)</f>
        <v/>
      </c>
      <c r="D125" s="17" t="str">
        <f>IF('Р 1. "Общие сведения"'!D126="","",'Р 1. "Общие сведения"'!D126)</f>
        <v/>
      </c>
      <c r="E125" s="17" t="str">
        <f>IF('Р 1. "Общие сведения"'!K126="","",'Р 1. "Общие сведения"'!K126)</f>
        <v/>
      </c>
      <c r="F125" s="18" t="str">
        <f>IF(OR(Таблица26[[#This Row],[Столбец1]]="",Таблица26[[#This Row],[Столбец5]]="",),"",VLOOKUP(A125,Таблица9[#All],2,FALSE))</f>
        <v/>
      </c>
      <c r="G125" s="21" t="str">
        <f>IF(OR(Таблица26[[#This Row],[Столбец1]]="",Таблица26[[#This Row],[Столбец5]]=""),"",VLOOKUP(A125,'Р 5. Финансирование'!$A$9:$D$89,3,FALSE))</f>
        <v/>
      </c>
      <c r="H125" s="21" t="str">
        <f>IF(OR(Таблица26[[#This Row],[Столбец1]]="",Таблица26[[#This Row],[Столбец5]]=""),"",VLOOKUP(A125,'Р 5. Финансирование'!$A$9:$D$89,4,FALSE))</f>
        <v/>
      </c>
      <c r="I125" s="22" t="str">
        <f>IF(OR(Таблица26[[#This Row],[Столбец5]]="отсутствует",Таблица26[[#This Row],[Столбец5]]=""),"",VLOOKUP(A125,'Р 4. Показатели_индикаторы'!$A$9:$J$103,3,FALSE))</f>
        <v/>
      </c>
      <c r="J125" s="22" t="str">
        <f>IF(OR(Таблица26[[#This Row],[Столбец5]]="отсутствует",Таблица26[[#This Row],[Столбец5]]=""),"",VLOOKUP(A125,'Р 4. Показатели_индикаторы'!$A$9:$J$103,4,FALSE))</f>
        <v/>
      </c>
      <c r="K125" s="22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Показатели_индикаторы'!$A$9:$J$103,5,FALSE))</f>
        <v/>
      </c>
      <c r="L125" s="22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Показатели_индикаторы'!$A$9:$J$103,6,FALSE))</f>
        <v/>
      </c>
      <c r="M125" s="22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Показатели_индикаторы'!$A$9:$J$103,7,FALSE))</f>
        <v/>
      </c>
      <c r="N125" s="22" t="str">
        <f>IF(OR(Таблица26[[#This Row],[Столбец1]]="",Таблица26[[#This Row],[Столбец5]]="",Таблица26[[#This Row],[Столбец5]]="отсутствует"),"",VLOOKUP(A125,'Р 4. Показатели_индикаторы'!$A$9:$J$103,8,FALSE))</f>
        <v/>
      </c>
      <c r="O125" s="24" t="str">
        <f>IF(VLOOKUP(A125,'Р 1. "Общие сведения"'!$I$8:$L$180,4,FALSE)="","",VLOOKUP(A125,'Р 1. "Общие сведения"'!$I$8:$L$180,4,FALSE))</f>
        <v/>
      </c>
    </row>
    <row r="126">
      <c r="A126" s="16" t="str">
        <f>IF('Р 1. "Общие сведения"'!I127="","",'Р 1. "Общие сведения"'!I127)</f>
        <v xml:space="preserve"> </v>
      </c>
      <c r="B126" s="17" t="str">
        <f>IF('Р 1. "Общие сведения"'!J127="","",'Р 1. "Общие сведения"'!J127)</f>
        <v/>
      </c>
      <c r="C126" s="17" t="str">
        <f>IF('Р 1. "Общие сведения"'!H127="","",'Р 1. "Общие сведения"'!H127)</f>
        <v/>
      </c>
      <c r="D126" s="17" t="str">
        <f>IF('Р 1. "Общие сведения"'!D127="","",'Р 1. "Общие сведения"'!D127)</f>
        <v/>
      </c>
      <c r="E126" s="17" t="str">
        <f>IF('Р 1. "Общие сведения"'!K127="","",'Р 1. "Общие сведения"'!K127)</f>
        <v/>
      </c>
      <c r="F126" s="18" t="str">
        <f>IF(OR(Таблица26[[#This Row],[Столбец1]]="",Таблица26[[#This Row],[Столбец5]]="",),"",VLOOKUP(A126,Таблица9[#All],2,FALSE))</f>
        <v/>
      </c>
      <c r="G126" s="21" t="str">
        <f>IF(OR(Таблица26[[#This Row],[Столбец1]]="",Таблица26[[#This Row],[Столбец5]]=""),"",VLOOKUP(A126,'Р 5. Финансирование'!$A$9:$D$89,3,FALSE))</f>
        <v/>
      </c>
      <c r="H126" s="21" t="str">
        <f>IF(OR(Таблица26[[#This Row],[Столбец1]]="",Таблица26[[#This Row],[Столбец5]]=""),"",VLOOKUP(A126,'Р 5. Финансирование'!$A$9:$D$89,4,FALSE))</f>
        <v/>
      </c>
      <c r="I126" s="22" t="str">
        <f>IF(OR(Таблица26[[#This Row],[Столбец5]]="отсутствует",Таблица26[[#This Row],[Столбец5]]=""),"",VLOOKUP(A126,'Р 4. Показатели_индикаторы'!$A$9:$J$103,3,FALSE))</f>
        <v/>
      </c>
      <c r="J126" s="22" t="str">
        <f>IF(OR(Таблица26[[#This Row],[Столбец5]]="отсутствует",Таблица26[[#This Row],[Столбец5]]=""),"",VLOOKUP(A126,'Р 4. Показатели_индикаторы'!$A$9:$J$103,4,FALSE))</f>
        <v/>
      </c>
      <c r="K126" s="22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Показатели_индикаторы'!$A$9:$J$103,5,FALSE))</f>
        <v/>
      </c>
      <c r="L126" s="22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Показатели_индикаторы'!$A$9:$J$103,6,FALSE))</f>
        <v/>
      </c>
      <c r="M126" s="22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Показатели_индикаторы'!$A$9:$J$103,7,FALSE))</f>
        <v/>
      </c>
      <c r="N126" s="22" t="str">
        <f>IF(OR(Таблица26[[#This Row],[Столбец1]]="",Таблица26[[#This Row],[Столбец5]]="",Таблица26[[#This Row],[Столбец5]]="отсутствует"),"",VLOOKUP(A126,'Р 4. Показатели_индикаторы'!$A$9:$J$103,8,FALSE))</f>
        <v/>
      </c>
      <c r="O126" s="24" t="str">
        <f>IF(VLOOKUP(A126,'Р 1. "Общие сведения"'!$I$8:$L$180,4,FALSE)="","",VLOOKUP(A126,'Р 1. "Общие сведения"'!$I$8:$L$180,4,FALSE))</f>
        <v/>
      </c>
    </row>
    <row r="127">
      <c r="A127" s="16" t="str">
        <f>IF('Р 1. "Общие сведения"'!I128="","",'Р 1. "Общие сведения"'!I128)</f>
        <v xml:space="preserve"> </v>
      </c>
      <c r="B127" s="17" t="str">
        <f>IF('Р 1. "Общие сведения"'!J128="","",'Р 1. "Общие сведения"'!J128)</f>
        <v/>
      </c>
      <c r="C127" s="17" t="str">
        <f>IF('Р 1. "Общие сведения"'!H128="","",'Р 1. "Общие сведения"'!H128)</f>
        <v/>
      </c>
      <c r="D127" s="17" t="str">
        <f>IF('Р 1. "Общие сведения"'!D128="","",'Р 1. "Общие сведения"'!D128)</f>
        <v/>
      </c>
      <c r="E127" s="17" t="str">
        <f>IF('Р 1. "Общие сведения"'!K128="","",'Р 1. "Общие сведения"'!K128)</f>
        <v/>
      </c>
      <c r="F127" s="18" t="str">
        <f>IF(OR(Таблица26[[#This Row],[Столбец1]]="",Таблица26[[#This Row],[Столбец5]]="",),"",VLOOKUP(A127,Таблица9[#All],2,FALSE))</f>
        <v/>
      </c>
      <c r="G127" s="21" t="str">
        <f>IF(OR(Таблица26[[#This Row],[Столбец1]]="",Таблица26[[#This Row],[Столбец5]]=""),"",VLOOKUP(A127,'Р 5. Финансирование'!$A$9:$D$89,3,FALSE))</f>
        <v/>
      </c>
      <c r="H127" s="21" t="str">
        <f>IF(OR(Таблица26[[#This Row],[Столбец1]]="",Таблица26[[#This Row],[Столбец5]]=""),"",VLOOKUP(A127,'Р 5. Финансирование'!$A$9:$D$89,4,FALSE))</f>
        <v/>
      </c>
      <c r="I127" s="22" t="str">
        <f>IF(OR(Таблица26[[#This Row],[Столбец5]]="отсутствует",Таблица26[[#This Row],[Столбец5]]=""),"",VLOOKUP(A127,'Р 4. Показатели_индикаторы'!$A$9:$J$103,3,FALSE))</f>
        <v/>
      </c>
      <c r="J127" s="22" t="str">
        <f>IF(OR(Таблица26[[#This Row],[Столбец5]]="отсутствует",Таблица26[[#This Row],[Столбец5]]=""),"",VLOOKUP(A127,'Р 4. Показатели_индикаторы'!$A$9:$J$103,4,FALSE))</f>
        <v/>
      </c>
      <c r="K127" s="22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Показатели_индикаторы'!$A$9:$J$103,5,FALSE))</f>
        <v/>
      </c>
      <c r="L127" s="22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Показатели_индикаторы'!$A$9:$J$103,6,FALSE))</f>
        <v/>
      </c>
      <c r="M127" s="22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Показатели_индикаторы'!$A$9:$J$103,7,FALSE))</f>
        <v/>
      </c>
      <c r="N127" s="22" t="str">
        <f>IF(OR(Таблица26[[#This Row],[Столбец1]]="",Таблица26[[#This Row],[Столбец5]]="",Таблица26[[#This Row],[Столбец5]]="отсутствует"),"",VLOOKUP(A127,'Р 4. Показатели_индикаторы'!$A$9:$J$103,8,FALSE))</f>
        <v/>
      </c>
      <c r="O127" s="24" t="str">
        <f>IF(VLOOKUP(A127,'Р 1. "Общие сведения"'!$I$8:$L$180,4,FALSE)="","",VLOOKUP(A127,'Р 1. "Общие сведения"'!$I$8:$L$180,4,FALSE))</f>
        <v/>
      </c>
    </row>
    <row r="128">
      <c r="A128" s="16" t="str">
        <f>IF('Р 1. "Общие сведения"'!I129="","",'Р 1. "Общие сведения"'!I129)</f>
        <v xml:space="preserve"> </v>
      </c>
      <c r="B128" s="17" t="str">
        <f>IF('Р 1. "Общие сведения"'!J129="","",'Р 1. "Общие сведения"'!J129)</f>
        <v/>
      </c>
      <c r="C128" s="17" t="str">
        <f>IF('Р 1. "Общие сведения"'!H129="","",'Р 1. "Общие сведения"'!H129)</f>
        <v/>
      </c>
      <c r="D128" s="17" t="str">
        <f>IF('Р 1. "Общие сведения"'!D129="","",'Р 1. "Общие сведения"'!D129)</f>
        <v/>
      </c>
      <c r="E128" s="17" t="str">
        <f>IF('Р 1. "Общие сведения"'!K129="","",'Р 1. "Общие сведения"'!K129)</f>
        <v/>
      </c>
      <c r="F128" s="18" t="str">
        <f>IF(OR(Таблица26[[#This Row],[Столбец1]]="",Таблица26[[#This Row],[Столбец5]]="",),"",VLOOKUP(A128,Таблица9[#All],2,FALSE))</f>
        <v/>
      </c>
      <c r="G128" s="21" t="str">
        <f>IF(OR(Таблица26[[#This Row],[Столбец1]]="",Таблица26[[#This Row],[Столбец5]]=""),"",VLOOKUP(A128,'Р 5. Финансирование'!$A$9:$D$89,3,FALSE))</f>
        <v/>
      </c>
      <c r="H128" s="21" t="str">
        <f>IF(OR(Таблица26[[#This Row],[Столбец1]]="",Таблица26[[#This Row],[Столбец5]]=""),"",VLOOKUP(A128,'Р 5. Финансирование'!$A$9:$D$89,4,FALSE))</f>
        <v/>
      </c>
      <c r="I128" s="22" t="str">
        <f>IF(OR(Таблица26[[#This Row],[Столбец5]]="отсутствует",Таблица26[[#This Row],[Столбец5]]=""),"",VLOOKUP(A128,'Р 4. Показатели_индикаторы'!$A$9:$J$103,3,FALSE))</f>
        <v/>
      </c>
      <c r="J128" s="22" t="str">
        <f>IF(OR(Таблица26[[#This Row],[Столбец5]]="отсутствует",Таблица26[[#This Row],[Столбец5]]=""),"",VLOOKUP(A128,'Р 4. Показатели_индикаторы'!$A$9:$J$103,4,FALSE))</f>
        <v/>
      </c>
      <c r="K128" s="22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Показатели_индикаторы'!$A$9:$J$103,5,FALSE))</f>
        <v/>
      </c>
      <c r="L128" s="22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Показатели_индикаторы'!$A$9:$J$103,6,FALSE))</f>
        <v/>
      </c>
      <c r="M128" s="22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Показатели_индикаторы'!$A$9:$J$103,7,FALSE))</f>
        <v/>
      </c>
      <c r="N128" s="22" t="str">
        <f>IF(OR(Таблица26[[#This Row],[Столбец1]]="",Таблица26[[#This Row],[Столбец5]]="",Таблица26[[#This Row],[Столбец5]]="отсутствует"),"",VLOOKUP(A128,'Р 4. Показатели_индикаторы'!$A$9:$J$103,8,FALSE))</f>
        <v/>
      </c>
      <c r="O128" s="24" t="str">
        <f>IF(VLOOKUP(A128,'Р 1. "Общие сведения"'!$I$8:$L$180,4,FALSE)="","",VLOOKUP(A128,'Р 1. "Общие сведения"'!$I$8:$L$180,4,FALSE))</f>
        <v/>
      </c>
    </row>
    <row r="129">
      <c r="A129" s="16" t="str">
        <f>IF('Р 1. "Общие сведения"'!I130="","",'Р 1. "Общие сведения"'!I130)</f>
        <v xml:space="preserve"> </v>
      </c>
      <c r="B129" s="17" t="str">
        <f>IF('Р 1. "Общие сведения"'!J130="","",'Р 1. "Общие сведения"'!J130)</f>
        <v/>
      </c>
      <c r="C129" s="17" t="str">
        <f>IF('Р 1. "Общие сведения"'!H130="","",'Р 1. "Общие сведения"'!H130)</f>
        <v/>
      </c>
      <c r="D129" s="17" t="str">
        <f>IF('Р 1. "Общие сведения"'!D130="","",'Р 1. "Общие сведения"'!D130)</f>
        <v/>
      </c>
      <c r="E129" s="17" t="str">
        <f>IF('Р 1. "Общие сведения"'!K130="","",'Р 1. "Общие сведения"'!K130)</f>
        <v/>
      </c>
      <c r="F129" s="18" t="str">
        <f>IF(OR(Таблица26[[#This Row],[Столбец1]]="",Таблица26[[#This Row],[Столбец5]]="",),"",VLOOKUP(A129,Таблица9[#All],2,FALSE))</f>
        <v/>
      </c>
      <c r="G129" s="21" t="str">
        <f>IF(OR(Таблица26[[#This Row],[Столбец1]]="",Таблица26[[#This Row],[Столбец5]]=""),"",VLOOKUP(A129,'Р 5. Финансирование'!$A$9:$D$89,3,FALSE))</f>
        <v/>
      </c>
      <c r="H129" s="21" t="str">
        <f>IF(OR(Таблица26[[#This Row],[Столбец1]]="",Таблица26[[#This Row],[Столбец5]]=""),"",VLOOKUP(A129,'Р 5. Финансирование'!$A$9:$D$89,4,FALSE))</f>
        <v/>
      </c>
      <c r="I129" s="22" t="str">
        <f>IF(OR(Таблица26[[#This Row],[Столбец5]]="отсутствует",Таблица26[[#This Row],[Столбец5]]=""),"",VLOOKUP(A129,'Р 4. Показатели_индикаторы'!$A$9:$J$103,3,FALSE))</f>
        <v/>
      </c>
      <c r="J129" s="22" t="str">
        <f>IF(OR(Таблица26[[#This Row],[Столбец5]]="отсутствует",Таблица26[[#This Row],[Столбец5]]=""),"",VLOOKUP(A129,'Р 4. Показатели_индикаторы'!$A$9:$J$103,4,FALSE))</f>
        <v/>
      </c>
      <c r="K129" s="22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Показатели_индикаторы'!$A$9:$J$103,5,FALSE))</f>
        <v/>
      </c>
      <c r="L129" s="22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Показатели_индикаторы'!$A$9:$J$103,6,FALSE))</f>
        <v/>
      </c>
      <c r="M129" s="22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Показатели_индикаторы'!$A$9:$J$103,7,FALSE))</f>
        <v/>
      </c>
      <c r="N129" s="22" t="str">
        <f>IF(OR(Таблица26[[#This Row],[Столбец1]]="",Таблица26[[#This Row],[Столбец5]]="",Таблица26[[#This Row],[Столбец5]]="отсутствует"),"",VLOOKUP(A129,'Р 4. Показатели_индикаторы'!$A$9:$J$103,8,FALSE))</f>
        <v/>
      </c>
      <c r="O129" s="24" t="str">
        <f>IF(VLOOKUP(A129,'Р 1. "Общие сведения"'!$I$8:$L$180,4,FALSE)="","",VLOOKUP(A129,'Р 1. "Общие сведения"'!$I$8:$L$180,4,FALSE))</f>
        <v/>
      </c>
    </row>
    <row r="130">
      <c r="A130" s="16" t="str">
        <f>IF('Р 1. "Общие сведения"'!I131="","",'Р 1. "Общие сведения"'!I131)</f>
        <v xml:space="preserve"> </v>
      </c>
      <c r="B130" s="17" t="str">
        <f>IF('Р 1. "Общие сведения"'!J131="","",'Р 1. "Общие сведения"'!J131)</f>
        <v/>
      </c>
      <c r="C130" s="17" t="str">
        <f>IF('Р 1. "Общие сведения"'!H131="","",'Р 1. "Общие сведения"'!H131)</f>
        <v/>
      </c>
      <c r="D130" s="17" t="str">
        <f>IF('Р 1. "Общие сведения"'!D131="","",'Р 1. "Общие сведения"'!D131)</f>
        <v/>
      </c>
      <c r="E130" s="17" t="str">
        <f>IF('Р 1. "Общие сведения"'!K131="","",'Р 1. "Общие сведения"'!K131)</f>
        <v/>
      </c>
      <c r="F130" s="18" t="str">
        <f>IF(OR(Таблица26[[#This Row],[Столбец1]]="",Таблица26[[#This Row],[Столбец5]]="",),"",VLOOKUP(A130,Таблица9[#All],2,FALSE))</f>
        <v/>
      </c>
      <c r="G130" s="21" t="str">
        <f>IF(OR(Таблица26[[#This Row],[Столбец1]]="",Таблица26[[#This Row],[Столбец5]]=""),"",VLOOKUP(A130,'Р 5. Финансирование'!$A$9:$D$89,3,FALSE))</f>
        <v/>
      </c>
      <c r="H130" s="21" t="str">
        <f>IF(OR(Таблица26[[#This Row],[Столбец1]]="",Таблица26[[#This Row],[Столбец5]]=""),"",VLOOKUP(A130,'Р 5. Финансирование'!$A$9:$D$89,4,FALSE))</f>
        <v/>
      </c>
      <c r="I130" s="22" t="str">
        <f>IF(OR(Таблица26[[#This Row],[Столбец5]]="отсутствует",Таблица26[[#This Row],[Столбец5]]=""),"",VLOOKUP(A130,'Р 4. Показатели_индикаторы'!$A$9:$J$103,3,FALSE))</f>
        <v/>
      </c>
      <c r="J130" s="22" t="str">
        <f>IF(OR(Таблица26[[#This Row],[Столбец5]]="отсутствует",Таблица26[[#This Row],[Столбец5]]=""),"",VLOOKUP(A130,'Р 4. Показатели_индикаторы'!$A$9:$J$103,4,FALSE))</f>
        <v/>
      </c>
      <c r="K130" s="22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Показатели_индикаторы'!$A$9:$J$103,5,FALSE))</f>
        <v/>
      </c>
      <c r="L130" s="22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Показатели_индикаторы'!$A$9:$J$103,6,FALSE))</f>
        <v/>
      </c>
      <c r="M130" s="22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Показатели_индикаторы'!$A$9:$J$103,7,FALSE))</f>
        <v/>
      </c>
      <c r="N130" s="22" t="str">
        <f>IF(OR(Таблица26[[#This Row],[Столбец1]]="",Таблица26[[#This Row],[Столбец5]]="",Таблица26[[#This Row],[Столбец5]]="отсутствует"),"",VLOOKUP(A130,'Р 4. Показатели_индикаторы'!$A$9:$J$103,8,FALSE))</f>
        <v/>
      </c>
      <c r="O130" s="24" t="str">
        <f>IF(VLOOKUP(A130,'Р 1. "Общие сведения"'!$I$8:$L$180,4,FALSE)="","",VLOOKUP(A130,'Р 1. "Общие сведения"'!$I$8:$L$180,4,FALSE))</f>
        <v/>
      </c>
    </row>
    <row r="131">
      <c r="A131" s="16" t="str">
        <f>IF('Р 1. "Общие сведения"'!I132="","",'Р 1. "Общие сведения"'!I132)</f>
        <v xml:space="preserve"> </v>
      </c>
      <c r="B131" s="17" t="str">
        <f>IF('Р 1. "Общие сведения"'!J132="","",'Р 1. "Общие сведения"'!J132)</f>
        <v/>
      </c>
      <c r="C131" s="17" t="str">
        <f>IF('Р 1. "Общие сведения"'!H132="","",'Р 1. "Общие сведения"'!H132)</f>
        <v/>
      </c>
      <c r="D131" s="17" t="str">
        <f>IF('Р 1. "Общие сведения"'!D132="","",'Р 1. "Общие сведения"'!D132)</f>
        <v/>
      </c>
      <c r="E131" s="17" t="str">
        <f>IF('Р 1. "Общие сведения"'!K132="","",'Р 1. "Общие сведения"'!K132)</f>
        <v/>
      </c>
      <c r="F131" s="18" t="str">
        <f>IF(OR(Таблица26[[#This Row],[Столбец1]]="",Таблица26[[#This Row],[Столбец5]]="",),"",VLOOKUP(A131,Таблица9[#All],2,FALSE))</f>
        <v/>
      </c>
      <c r="G131" s="21" t="str">
        <f>IF(OR(Таблица26[[#This Row],[Столбец1]]="",Таблица26[[#This Row],[Столбец5]]=""),"",VLOOKUP(A131,'Р 5. Финансирование'!$A$9:$D$89,3,FALSE))</f>
        <v/>
      </c>
      <c r="H131" s="21" t="str">
        <f>IF(OR(Таблица26[[#This Row],[Столбец1]]="",Таблица26[[#This Row],[Столбец5]]=""),"",VLOOKUP(A131,'Р 5. Финансирование'!$A$9:$D$89,4,FALSE))</f>
        <v/>
      </c>
      <c r="I131" s="22" t="str">
        <f>IF(OR(Таблица26[[#This Row],[Столбец5]]="отсутствует",Таблица26[[#This Row],[Столбец5]]=""),"",VLOOKUP(A131,'Р 4. Показатели_индикаторы'!$A$9:$J$103,3,FALSE))</f>
        <v/>
      </c>
      <c r="J131" s="22" t="str">
        <f>IF(OR(Таблица26[[#This Row],[Столбец5]]="отсутствует",Таблица26[[#This Row],[Столбец5]]=""),"",VLOOKUP(A131,'Р 4. Показатели_индикаторы'!$A$9:$J$103,4,FALSE))</f>
        <v/>
      </c>
      <c r="K131" s="22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Показатели_индикаторы'!$A$9:$J$103,5,FALSE))</f>
        <v/>
      </c>
      <c r="L131" s="22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Показатели_индикаторы'!$A$9:$J$103,6,FALSE))</f>
        <v/>
      </c>
      <c r="M131" s="22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Показатели_индикаторы'!$A$9:$J$103,7,FALSE))</f>
        <v/>
      </c>
      <c r="N131" s="22" t="str">
        <f>IF(OR(Таблица26[[#This Row],[Столбец1]]="",Таблица26[[#This Row],[Столбец5]]="",Таблица26[[#This Row],[Столбец5]]="отсутствует"),"",VLOOKUP(A131,'Р 4. Показатели_индикаторы'!$A$9:$J$103,8,FALSE))</f>
        <v/>
      </c>
      <c r="O131" s="24" t="str">
        <f>IF(VLOOKUP(A131,'Р 1. "Общие сведения"'!$I$8:$L$180,4,FALSE)="","",VLOOKUP(A131,'Р 1. "Общие сведения"'!$I$8:$L$180,4,FALSE))</f>
        <v/>
      </c>
    </row>
    <row r="132">
      <c r="A132" s="16" t="str">
        <f>IF('Р 1. "Общие сведения"'!I133="","",'Р 1. "Общие сведения"'!I133)</f>
        <v xml:space="preserve"> </v>
      </c>
      <c r="B132" s="17" t="str">
        <f>IF('Р 1. "Общие сведения"'!J133="","",'Р 1. "Общие сведения"'!J133)</f>
        <v/>
      </c>
      <c r="C132" s="17" t="str">
        <f>IF('Р 1. "Общие сведения"'!H133="","",'Р 1. "Общие сведения"'!H133)</f>
        <v/>
      </c>
      <c r="D132" s="17" t="str">
        <f>IF('Р 1. "Общие сведения"'!D133="","",'Р 1. "Общие сведения"'!D133)</f>
        <v/>
      </c>
      <c r="E132" s="17" t="str">
        <f>IF('Р 1. "Общие сведения"'!K133="","",'Р 1. "Общие сведения"'!K133)</f>
        <v/>
      </c>
      <c r="F132" s="18" t="str">
        <f>IF(OR(Таблица26[[#This Row],[Столбец1]]="",Таблица26[[#This Row],[Столбец5]]="",),"",VLOOKUP(A132,Таблица9[#All],2,FALSE))</f>
        <v/>
      </c>
      <c r="G132" s="21" t="str">
        <f>IF(OR(Таблица26[[#This Row],[Столбец1]]="",Таблица26[[#This Row],[Столбец5]]=""),"",VLOOKUP(A132,'Р 5. Финансирование'!$A$9:$D$89,3,FALSE))</f>
        <v/>
      </c>
      <c r="H132" s="21" t="str">
        <f>IF(OR(Таблица26[[#This Row],[Столбец1]]="",Таблица26[[#This Row],[Столбец5]]=""),"",VLOOKUP(A132,'Р 5. Финансирование'!$A$9:$D$89,4,FALSE))</f>
        <v/>
      </c>
      <c r="I132" s="22" t="str">
        <f>IF(OR(Таблица26[[#This Row],[Столбец5]]="отсутствует",Таблица26[[#This Row],[Столбец5]]=""),"",VLOOKUP(A132,'Р 4. Показатели_индикаторы'!$A$9:$J$103,3,FALSE))</f>
        <v/>
      </c>
      <c r="J132" s="22" t="str">
        <f>IF(OR(Таблица26[[#This Row],[Столбец5]]="отсутствует",Таблица26[[#This Row],[Столбец5]]=""),"",VLOOKUP(A132,'Р 4. Показатели_индикаторы'!$A$9:$J$103,4,FALSE))</f>
        <v/>
      </c>
      <c r="K132" s="22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Показатели_индикаторы'!$A$9:$J$103,5,FALSE))</f>
        <v/>
      </c>
      <c r="L132" s="22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Показатели_индикаторы'!$A$9:$J$103,6,FALSE))</f>
        <v/>
      </c>
      <c r="M132" s="22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Показатели_индикаторы'!$A$9:$J$103,7,FALSE))</f>
        <v/>
      </c>
      <c r="N132" s="22" t="str">
        <f>IF(OR(Таблица26[[#This Row],[Столбец1]]="",Таблица26[[#This Row],[Столбец5]]="",Таблица26[[#This Row],[Столбец5]]="отсутствует"),"",VLOOKUP(A132,'Р 4. Показатели_индикаторы'!$A$9:$J$103,8,FALSE))</f>
        <v/>
      </c>
      <c r="O132" s="24" t="str">
        <f>IF(VLOOKUP(A132,'Р 1. "Общие сведения"'!$I$8:$L$180,4,FALSE)="","",VLOOKUP(A132,'Р 1. "Общие сведения"'!$I$8:$L$180,4,FALSE))</f>
        <v/>
      </c>
    </row>
    <row r="133">
      <c r="A133" s="16" t="str">
        <f>IF('Р 1. "Общие сведения"'!I134="","",'Р 1. "Общие сведения"'!I134)</f>
        <v xml:space="preserve"> </v>
      </c>
      <c r="B133" s="17" t="str">
        <f>IF('Р 1. "Общие сведения"'!J134="","",'Р 1. "Общие сведения"'!J134)</f>
        <v/>
      </c>
      <c r="C133" s="17" t="str">
        <f>IF('Р 1. "Общие сведения"'!H134="","",'Р 1. "Общие сведения"'!H134)</f>
        <v/>
      </c>
      <c r="D133" s="17" t="str">
        <f>IF('Р 1. "Общие сведения"'!D134="","",'Р 1. "Общие сведения"'!D134)</f>
        <v/>
      </c>
      <c r="E133" s="17" t="str">
        <f>IF('Р 1. "Общие сведения"'!K134="","",'Р 1. "Общие сведения"'!K134)</f>
        <v/>
      </c>
      <c r="F133" s="18" t="str">
        <f>IF(OR(Таблица26[[#This Row],[Столбец1]]="",Таблица26[[#This Row],[Столбец5]]="",),"",VLOOKUP(A133,Таблица9[#All],2,FALSE))</f>
        <v/>
      </c>
      <c r="G133" s="21" t="str">
        <f>IF(OR(Таблица26[[#This Row],[Столбец1]]="",Таблица26[[#This Row],[Столбец5]]=""),"",VLOOKUP(A133,'Р 5. Финансирование'!$A$9:$D$89,3,FALSE))</f>
        <v/>
      </c>
      <c r="H133" s="21" t="str">
        <f>IF(OR(Таблица26[[#This Row],[Столбец1]]="",Таблица26[[#This Row],[Столбец5]]=""),"",VLOOKUP(A133,'Р 5. Финансирование'!$A$9:$D$89,4,FALSE))</f>
        <v/>
      </c>
      <c r="I133" s="22" t="str">
        <f>IF(OR(Таблица26[[#This Row],[Столбец5]]="отсутствует",Таблица26[[#This Row],[Столбец5]]=""),"",VLOOKUP(A133,'Р 4. Показатели_индикаторы'!$A$9:$J$103,3,FALSE))</f>
        <v/>
      </c>
      <c r="J133" s="22" t="str">
        <f>IF(OR(Таблица26[[#This Row],[Столбец5]]="отсутствует",Таблица26[[#This Row],[Столбец5]]=""),"",VLOOKUP(A133,'Р 4. Показатели_индикаторы'!$A$9:$J$103,4,FALSE))</f>
        <v/>
      </c>
      <c r="K133" s="22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Показатели_индикаторы'!$A$9:$J$103,5,FALSE))</f>
        <v/>
      </c>
      <c r="L133" s="22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Показатели_индикаторы'!$A$9:$J$103,6,FALSE))</f>
        <v/>
      </c>
      <c r="M133" s="22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Показатели_индикаторы'!$A$9:$J$103,7,FALSE))</f>
        <v/>
      </c>
      <c r="N133" s="22" t="str">
        <f>IF(OR(Таблица26[[#This Row],[Столбец1]]="",Таблица26[[#This Row],[Столбец5]]="",Таблица26[[#This Row],[Столбец5]]="отсутствует"),"",VLOOKUP(A133,'Р 4. Показатели_индикаторы'!$A$9:$J$103,8,FALSE))</f>
        <v/>
      </c>
      <c r="O133" s="24" t="str">
        <f>IF(VLOOKUP(A133,'Р 1. "Общие сведения"'!$I$8:$L$180,4,FALSE)="","",VLOOKUP(A133,'Р 1. "Общие сведения"'!$I$8:$L$180,4,FALSE))</f>
        <v/>
      </c>
    </row>
    <row r="134">
      <c r="A134" s="16" t="str">
        <f>IF('Р 1. "Общие сведения"'!I135="","",'Р 1. "Общие сведения"'!I135)</f>
        <v xml:space="preserve"> </v>
      </c>
      <c r="B134" s="17" t="str">
        <f>IF('Р 1. "Общие сведения"'!J135="","",'Р 1. "Общие сведения"'!J135)</f>
        <v/>
      </c>
      <c r="C134" s="17" t="str">
        <f>IF('Р 1. "Общие сведения"'!H135="","",'Р 1. "Общие сведения"'!H135)</f>
        <v/>
      </c>
      <c r="D134" s="17" t="str">
        <f>IF('Р 1. "Общие сведения"'!D135="","",'Р 1. "Общие сведения"'!D135)</f>
        <v/>
      </c>
      <c r="E134" s="17" t="str">
        <f>IF('Р 1. "Общие сведения"'!K135="","",'Р 1. "Общие сведения"'!K135)</f>
        <v/>
      </c>
      <c r="F134" s="18" t="str">
        <f>IF(OR(Таблица26[[#This Row],[Столбец1]]="",Таблица26[[#This Row],[Столбец5]]="",),"",VLOOKUP(A134,Таблица9[#All],2,FALSE))</f>
        <v/>
      </c>
      <c r="G134" s="21" t="str">
        <f>IF(OR(Таблица26[[#This Row],[Столбец1]]="",Таблица26[[#This Row],[Столбец5]]=""),"",VLOOKUP(A134,'Р 5. Финансирование'!$A$9:$D$89,3,FALSE))</f>
        <v/>
      </c>
      <c r="H134" s="21" t="str">
        <f>IF(OR(Таблица26[[#This Row],[Столбец1]]="",Таблица26[[#This Row],[Столбец5]]=""),"",VLOOKUP(A134,'Р 5. Финансирование'!$A$9:$D$89,4,FALSE))</f>
        <v/>
      </c>
      <c r="I134" s="22" t="str">
        <f>IF(OR(Таблица26[[#This Row],[Столбец5]]="отсутствует",Таблица26[[#This Row],[Столбец5]]=""),"",VLOOKUP(A134,'Р 4. Показатели_индикаторы'!$A$9:$J$103,3,FALSE))</f>
        <v/>
      </c>
      <c r="J134" s="22" t="str">
        <f>IF(OR(Таблица26[[#This Row],[Столбец5]]="отсутствует",Таблица26[[#This Row],[Столбец5]]=""),"",VLOOKUP(A134,'Р 4. Показатели_индикаторы'!$A$9:$J$103,4,FALSE))</f>
        <v/>
      </c>
      <c r="K134" s="22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Показатели_индикаторы'!$A$9:$J$103,5,FALSE))</f>
        <v/>
      </c>
      <c r="L134" s="22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Показатели_индикаторы'!$A$9:$J$103,6,FALSE))</f>
        <v/>
      </c>
      <c r="M134" s="22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Показатели_индикаторы'!$A$9:$J$103,7,FALSE))</f>
        <v/>
      </c>
      <c r="N134" s="22" t="str">
        <f>IF(OR(Таблица26[[#This Row],[Столбец1]]="",Таблица26[[#This Row],[Столбец5]]="",Таблица26[[#This Row],[Столбец5]]="отсутствует"),"",VLOOKUP(A134,'Р 4. Показатели_индикаторы'!$A$9:$J$103,8,FALSE))</f>
        <v/>
      </c>
      <c r="O134" s="24" t="str">
        <f>IF(VLOOKUP(A134,'Р 1. "Общие сведения"'!$I$8:$L$180,4,FALSE)="","",VLOOKUP(A134,'Р 1. "Общие сведения"'!$I$8:$L$180,4,FALSE))</f>
        <v/>
      </c>
    </row>
    <row r="135">
      <c r="A135" s="16" t="str">
        <f>IF('Р 1. "Общие сведения"'!I136="","",'Р 1. "Общие сведения"'!I136)</f>
        <v xml:space="preserve"> </v>
      </c>
      <c r="B135" s="17" t="str">
        <f>IF('Р 1. "Общие сведения"'!J136="","",'Р 1. "Общие сведения"'!J136)</f>
        <v/>
      </c>
      <c r="C135" s="17" t="str">
        <f>IF('Р 1. "Общие сведения"'!H136="","",'Р 1. "Общие сведения"'!H136)</f>
        <v/>
      </c>
      <c r="D135" s="17" t="str">
        <f>IF('Р 1. "Общие сведения"'!D136="","",'Р 1. "Общие сведения"'!D136)</f>
        <v/>
      </c>
      <c r="E135" s="17" t="str">
        <f>IF('Р 1. "Общие сведения"'!K136="","",'Р 1. "Общие сведения"'!K136)</f>
        <v/>
      </c>
      <c r="F135" s="18" t="str">
        <f>IF(OR(Таблица26[[#This Row],[Столбец1]]="",Таблица26[[#This Row],[Столбец5]]="",),"",VLOOKUP(A135,Таблица9[#All],2,FALSE))</f>
        <v/>
      </c>
      <c r="G135" s="21" t="str">
        <f>IF(OR(Таблица26[[#This Row],[Столбец1]]="",Таблица26[[#This Row],[Столбец5]]=""),"",VLOOKUP(A135,'Р 5. Финансирование'!$A$9:$D$89,3,FALSE))</f>
        <v/>
      </c>
      <c r="H135" s="21" t="str">
        <f>IF(OR(Таблица26[[#This Row],[Столбец1]]="",Таблица26[[#This Row],[Столбец5]]=""),"",VLOOKUP(A135,'Р 5. Финансирование'!$A$9:$D$89,4,FALSE))</f>
        <v/>
      </c>
      <c r="I135" s="22" t="str">
        <f>IF(OR(Таблица26[[#This Row],[Столбец5]]="отсутствует",Таблица26[[#This Row],[Столбец5]]=""),"",VLOOKUP(A135,'Р 4. Показатели_индикаторы'!$A$9:$J$103,3,FALSE))</f>
        <v/>
      </c>
      <c r="J135" s="22" t="str">
        <f>IF(OR(Таблица26[[#This Row],[Столбец5]]="отсутствует",Таблица26[[#This Row],[Столбец5]]=""),"",VLOOKUP(A135,'Р 4. Показатели_индикаторы'!$A$9:$J$103,4,FALSE))</f>
        <v/>
      </c>
      <c r="K135" s="22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Показатели_индикаторы'!$A$9:$J$103,5,FALSE))</f>
        <v/>
      </c>
      <c r="L135" s="22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Показатели_индикаторы'!$A$9:$J$103,6,FALSE))</f>
        <v/>
      </c>
      <c r="M135" s="22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Показатели_индикаторы'!$A$9:$J$103,7,FALSE))</f>
        <v/>
      </c>
      <c r="N135" s="22" t="str">
        <f>IF(OR(Таблица26[[#This Row],[Столбец1]]="",Таблица26[[#This Row],[Столбец5]]="",Таблица26[[#This Row],[Столбец5]]="отсутствует"),"",VLOOKUP(A135,'Р 4. Показатели_индикаторы'!$A$9:$J$103,8,FALSE))</f>
        <v/>
      </c>
      <c r="O135" s="24" t="str">
        <f>IF(VLOOKUP(A135,'Р 1. "Общие сведения"'!$I$8:$L$180,4,FALSE)="","",VLOOKUP(A135,'Р 1. "Общие сведения"'!$I$8:$L$180,4,FALSE))</f>
        <v/>
      </c>
    </row>
    <row r="136">
      <c r="A136" s="16" t="str">
        <f>IF('Р 1. "Общие сведения"'!I137="","",'Р 1. "Общие сведения"'!I137)</f>
        <v xml:space="preserve"> </v>
      </c>
      <c r="B136" s="17" t="str">
        <f>IF('Р 1. "Общие сведения"'!J137="","",'Р 1. "Общие сведения"'!J137)</f>
        <v/>
      </c>
      <c r="C136" s="17" t="str">
        <f>IF('Р 1. "Общие сведения"'!H137="","",'Р 1. "Общие сведения"'!H137)</f>
        <v/>
      </c>
      <c r="D136" s="17" t="str">
        <f>IF('Р 1. "Общие сведения"'!D137="","",'Р 1. "Общие сведения"'!D137)</f>
        <v/>
      </c>
      <c r="E136" s="17" t="str">
        <f>IF('Р 1. "Общие сведения"'!K137="","",'Р 1. "Общие сведения"'!K137)</f>
        <v/>
      </c>
      <c r="F136" s="18" t="str">
        <f>IF(OR(Таблица26[[#This Row],[Столбец1]]="",Таблица26[[#This Row],[Столбец5]]="",),"",VLOOKUP(A136,Таблица9[#All],2,FALSE))</f>
        <v/>
      </c>
      <c r="G136" s="21" t="str">
        <f>IF(OR(Таблица26[[#This Row],[Столбец1]]="",Таблица26[[#This Row],[Столбец5]]=""),"",VLOOKUP(A136,'Р 5. Финансирование'!$A$9:$D$89,3,FALSE))</f>
        <v/>
      </c>
      <c r="H136" s="21" t="str">
        <f>IF(OR(Таблица26[[#This Row],[Столбец1]]="",Таблица26[[#This Row],[Столбец5]]=""),"",VLOOKUP(A136,'Р 5. Финансирование'!$A$9:$D$89,4,FALSE))</f>
        <v/>
      </c>
      <c r="I136" s="22" t="str">
        <f>IF(OR(Таблица26[[#This Row],[Столбец5]]="отсутствует",Таблица26[[#This Row],[Столбец5]]=""),"",VLOOKUP(A136,'Р 4. Показатели_индикаторы'!$A$9:$J$103,3,FALSE))</f>
        <v/>
      </c>
      <c r="J136" s="22" t="str">
        <f>IF(OR(Таблица26[[#This Row],[Столбец5]]="отсутствует",Таблица26[[#This Row],[Столбец5]]=""),"",VLOOKUP(A136,'Р 4. Показатели_индикаторы'!$A$9:$J$103,4,FALSE))</f>
        <v/>
      </c>
      <c r="K136" s="22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Показатели_индикаторы'!$A$9:$J$103,5,FALSE))</f>
        <v/>
      </c>
      <c r="L136" s="22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Показатели_индикаторы'!$A$9:$J$103,6,FALSE))</f>
        <v/>
      </c>
      <c r="M136" s="22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Показатели_индикаторы'!$A$9:$J$103,7,FALSE))</f>
        <v/>
      </c>
      <c r="N136" s="22" t="str">
        <f>IF(OR(Таблица26[[#This Row],[Столбец1]]="",Таблица26[[#This Row],[Столбец5]]="",Таблица26[[#This Row],[Столбец5]]="отсутствует"),"",VLOOKUP(A136,'Р 4. Показатели_индикаторы'!$A$9:$J$103,8,FALSE))</f>
        <v/>
      </c>
      <c r="O136" s="24" t="str">
        <f>IF(VLOOKUP(A136,'Р 1. "Общие сведения"'!$I$8:$L$180,4,FALSE)="","",VLOOKUP(A136,'Р 1. "Общие сведения"'!$I$8:$L$180,4,FALSE))</f>
        <v/>
      </c>
    </row>
    <row r="137">
      <c r="A137" s="16" t="str">
        <f>IF('Р 1. "Общие сведения"'!I138="","",'Р 1. "Общие сведения"'!I138)</f>
        <v xml:space="preserve"> </v>
      </c>
      <c r="B137" s="17" t="str">
        <f>IF('Р 1. "Общие сведения"'!J138="","",'Р 1. "Общие сведения"'!J138)</f>
        <v/>
      </c>
      <c r="C137" s="17" t="str">
        <f>IF('Р 1. "Общие сведения"'!H138="","",'Р 1. "Общие сведения"'!H138)</f>
        <v/>
      </c>
      <c r="D137" s="17" t="str">
        <f>IF('Р 1. "Общие сведения"'!D138="","",'Р 1. "Общие сведения"'!D138)</f>
        <v/>
      </c>
      <c r="E137" s="17" t="str">
        <f>IF('Р 1. "Общие сведения"'!K138="","",'Р 1. "Общие сведения"'!K138)</f>
        <v/>
      </c>
      <c r="F137" s="18" t="str">
        <f>IF(OR(Таблица26[[#This Row],[Столбец1]]="",Таблица26[[#This Row],[Столбец5]]="",),"",VLOOKUP(A137,Таблица9[#All],2,FALSE))</f>
        <v/>
      </c>
      <c r="G137" s="21" t="str">
        <f>IF(OR(Таблица26[[#This Row],[Столбец1]]="",Таблица26[[#This Row],[Столбец5]]=""),"",VLOOKUP(A137,'Р 5. Финансирование'!$A$9:$D$89,3,FALSE))</f>
        <v/>
      </c>
      <c r="H137" s="21" t="str">
        <f>IF(OR(Таблица26[[#This Row],[Столбец1]]="",Таблица26[[#This Row],[Столбец5]]=""),"",VLOOKUP(A137,'Р 5. Финансирование'!$A$9:$D$89,4,FALSE))</f>
        <v/>
      </c>
      <c r="I137" s="22" t="str">
        <f>IF(OR(Таблица26[[#This Row],[Столбец5]]="отсутствует",Таблица26[[#This Row],[Столбец5]]=""),"",VLOOKUP(A137,'Р 4. Показатели_индикаторы'!$A$9:$J$103,3,FALSE))</f>
        <v/>
      </c>
      <c r="J137" s="22" t="str">
        <f>IF(OR(Таблица26[[#This Row],[Столбец5]]="отсутствует",Таблица26[[#This Row],[Столбец5]]=""),"",VLOOKUP(A137,'Р 4. Показатели_индикаторы'!$A$9:$J$103,4,FALSE))</f>
        <v/>
      </c>
      <c r="K137" s="22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Показатели_индикаторы'!$A$9:$J$103,5,FALSE))</f>
        <v/>
      </c>
      <c r="L137" s="22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Показатели_индикаторы'!$A$9:$J$103,6,FALSE))</f>
        <v/>
      </c>
      <c r="M137" s="22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Показатели_индикаторы'!$A$9:$J$103,7,FALSE))</f>
        <v/>
      </c>
      <c r="N137" s="22" t="str">
        <f>IF(OR(Таблица26[[#This Row],[Столбец1]]="",Таблица26[[#This Row],[Столбец5]]="",Таблица26[[#This Row],[Столбец5]]="отсутствует"),"",VLOOKUP(A137,'Р 4. Показатели_индикаторы'!$A$9:$J$103,8,FALSE))</f>
        <v/>
      </c>
      <c r="O137" s="24" t="str">
        <f>IF(VLOOKUP(A137,'Р 1. "Общие сведения"'!$I$8:$L$180,4,FALSE)="","",VLOOKUP(A137,'Р 1. "Общие сведения"'!$I$8:$L$180,4,FALSE))</f>
        <v/>
      </c>
    </row>
    <row r="138">
      <c r="A138" s="16" t="str">
        <f>IF('Р 1. "Общие сведения"'!I139="","",'Р 1. "Общие сведения"'!I139)</f>
        <v xml:space="preserve"> </v>
      </c>
      <c r="B138" s="17" t="str">
        <f>IF('Р 1. "Общие сведения"'!J139="","",'Р 1. "Общие сведения"'!J139)</f>
        <v/>
      </c>
      <c r="C138" s="17" t="str">
        <f>IF('Р 1. "Общие сведения"'!H139="","",'Р 1. "Общие сведения"'!H139)</f>
        <v/>
      </c>
      <c r="D138" s="17" t="str">
        <f>IF('Р 1. "Общие сведения"'!D139="","",'Р 1. "Общие сведения"'!D139)</f>
        <v/>
      </c>
      <c r="E138" s="17" t="str">
        <f>IF('Р 1. "Общие сведения"'!K139="","",'Р 1. "Общие сведения"'!K139)</f>
        <v/>
      </c>
      <c r="F138" s="18" t="str">
        <f>IF(OR(Таблица26[[#This Row],[Столбец1]]="",Таблица26[[#This Row],[Столбец5]]="",),"",VLOOKUP(A138,Таблица9[#All],2,FALSE))</f>
        <v/>
      </c>
      <c r="G138" s="21" t="str">
        <f>IF(OR(Таблица26[[#This Row],[Столбец1]]="",Таблица26[[#This Row],[Столбец5]]=""),"",VLOOKUP(A138,'Р 5. Финансирование'!$A$9:$D$89,3,FALSE))</f>
        <v/>
      </c>
      <c r="H138" s="21" t="str">
        <f>IF(OR(Таблица26[[#This Row],[Столбец1]]="",Таблица26[[#This Row],[Столбец5]]=""),"",VLOOKUP(A138,'Р 5. Финансирование'!$A$9:$D$89,4,FALSE))</f>
        <v/>
      </c>
      <c r="I138" s="22" t="str">
        <f>IF(OR(Таблица26[[#This Row],[Столбец5]]="отсутствует",Таблица26[[#This Row],[Столбец5]]=""),"",VLOOKUP(A138,'Р 4. Показатели_индикаторы'!$A$9:$J$103,3,FALSE))</f>
        <v/>
      </c>
      <c r="J138" s="22" t="str">
        <f>IF(OR(Таблица26[[#This Row],[Столбец5]]="отсутствует",Таблица26[[#This Row],[Столбец5]]=""),"",VLOOKUP(A138,'Р 4. Показатели_индикаторы'!$A$9:$J$103,4,FALSE))</f>
        <v/>
      </c>
      <c r="K138" s="22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Показатели_индикаторы'!$A$9:$J$103,5,FALSE))</f>
        <v/>
      </c>
      <c r="L138" s="22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Показатели_индикаторы'!$A$9:$J$103,6,FALSE))</f>
        <v/>
      </c>
      <c r="M138" s="22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Показатели_индикаторы'!$A$9:$J$103,7,FALSE))</f>
        <v/>
      </c>
      <c r="N138" s="22" t="str">
        <f>IF(OR(Таблица26[[#This Row],[Столбец1]]="",Таблица26[[#This Row],[Столбец5]]="",Таблица26[[#This Row],[Столбец5]]="отсутствует"),"",VLOOKUP(A138,'Р 4. Показатели_индикаторы'!$A$9:$J$103,8,FALSE))</f>
        <v/>
      </c>
      <c r="O138" s="24" t="str">
        <f>IF(VLOOKUP(A138,'Р 1. "Общие сведения"'!$I$8:$L$180,4,FALSE)="","",VLOOKUP(A138,'Р 1. "Общие сведения"'!$I$8:$L$180,4,FALSE))</f>
        <v/>
      </c>
    </row>
    <row r="139">
      <c r="A139" s="16" t="str">
        <f>IF('Р 1. "Общие сведения"'!I140="","",'Р 1. "Общие сведения"'!I140)</f>
        <v xml:space="preserve"> </v>
      </c>
      <c r="B139" s="17" t="str">
        <f>IF('Р 1. "Общие сведения"'!J140="","",'Р 1. "Общие сведения"'!J140)</f>
        <v/>
      </c>
      <c r="C139" s="17" t="str">
        <f>IF('Р 1. "Общие сведения"'!H140="","",'Р 1. "Общие сведения"'!H140)</f>
        <v/>
      </c>
      <c r="D139" s="17" t="str">
        <f>IF('Р 1. "Общие сведения"'!D140="","",'Р 1. "Общие сведения"'!D140)</f>
        <v/>
      </c>
      <c r="E139" s="17" t="str">
        <f>IF('Р 1. "Общие сведения"'!K140="","",'Р 1. "Общие сведения"'!K140)</f>
        <v/>
      </c>
      <c r="F139" s="18" t="str">
        <f>IF(OR(Таблица26[[#This Row],[Столбец1]]="",Таблица26[[#This Row],[Столбец5]]="",),"",VLOOKUP(A139,Таблица9[#All],2,FALSE))</f>
        <v/>
      </c>
      <c r="G139" s="21" t="str">
        <f>IF(OR(Таблица26[[#This Row],[Столбец1]]="",Таблица26[[#This Row],[Столбец5]]=""),"",VLOOKUP(A139,'Р 5. Финансирование'!$A$9:$D$89,3,FALSE))</f>
        <v/>
      </c>
      <c r="H139" s="21" t="str">
        <f>IF(OR(Таблица26[[#This Row],[Столбец1]]="",Таблица26[[#This Row],[Столбец5]]=""),"",VLOOKUP(A139,'Р 5. Финансирование'!$A$9:$D$89,4,FALSE))</f>
        <v/>
      </c>
      <c r="I139" s="22" t="str">
        <f>IF(OR(Таблица26[[#This Row],[Столбец5]]="отсутствует",Таблица26[[#This Row],[Столбец5]]=""),"",VLOOKUP(A139,'Р 4. Показатели_индикаторы'!$A$9:$J$103,3,FALSE))</f>
        <v/>
      </c>
      <c r="J139" s="22" t="str">
        <f>IF(OR(Таблица26[[#This Row],[Столбец5]]="отсутствует",Таблица26[[#This Row],[Столбец5]]=""),"",VLOOKUP(A139,'Р 4. Показатели_индикаторы'!$A$9:$J$103,4,FALSE))</f>
        <v/>
      </c>
      <c r="K139" s="22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Показатели_индикаторы'!$A$9:$J$103,5,FALSE))</f>
        <v/>
      </c>
      <c r="L139" s="22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Показатели_индикаторы'!$A$9:$J$103,6,FALSE))</f>
        <v/>
      </c>
      <c r="M139" s="22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Показатели_индикаторы'!$A$9:$J$103,7,FALSE))</f>
        <v/>
      </c>
      <c r="N139" s="22" t="str">
        <f>IF(OR(Таблица26[[#This Row],[Столбец1]]="",Таблица26[[#This Row],[Столбец5]]="",Таблица26[[#This Row],[Столбец5]]="отсутствует"),"",VLOOKUP(A139,'Р 4. Показатели_индикаторы'!$A$9:$J$103,8,FALSE))</f>
        <v/>
      </c>
      <c r="O139" s="24" t="str">
        <f>IF(VLOOKUP(A139,'Р 1. "Общие сведения"'!$I$8:$L$180,4,FALSE)="","",VLOOKUP(A139,'Р 1. "Общие сведения"'!$I$8:$L$180,4,FALSE))</f>
        <v/>
      </c>
    </row>
    <row r="140">
      <c r="A140" s="16" t="str">
        <f>IF('Р 1. "Общие сведения"'!I141="","",'Р 1. "Общие сведения"'!I141)</f>
        <v xml:space="preserve"> </v>
      </c>
      <c r="B140" s="17" t="str">
        <f>IF('Р 1. "Общие сведения"'!J141="","",'Р 1. "Общие сведения"'!J141)</f>
        <v/>
      </c>
      <c r="C140" s="17" t="str">
        <f>IF('Р 1. "Общие сведения"'!H141="","",'Р 1. "Общие сведения"'!H141)</f>
        <v/>
      </c>
      <c r="D140" s="17" t="str">
        <f>IF('Р 1. "Общие сведения"'!D141="","",'Р 1. "Общие сведения"'!D141)</f>
        <v/>
      </c>
      <c r="E140" s="17" t="str">
        <f>IF('Р 1. "Общие сведения"'!K141="","",'Р 1. "Общие сведения"'!K141)</f>
        <v/>
      </c>
      <c r="F140" s="18" t="str">
        <f>IF(OR(Таблица26[[#This Row],[Столбец1]]="",Таблица26[[#This Row],[Столбец5]]="",),"",VLOOKUP(A140,Таблица9[#All],2,FALSE))</f>
        <v/>
      </c>
      <c r="G140" s="21" t="str">
        <f>IF(OR(Таблица26[[#This Row],[Столбец1]]="",Таблица26[[#This Row],[Столбец5]]=""),"",VLOOKUP(A140,'Р 5. Финансирование'!$A$9:$D$89,3,FALSE))</f>
        <v/>
      </c>
      <c r="H140" s="21" t="str">
        <f>IF(OR(Таблица26[[#This Row],[Столбец1]]="",Таблица26[[#This Row],[Столбец5]]=""),"",VLOOKUP(A140,'Р 5. Финансирование'!$A$9:$D$89,4,FALSE))</f>
        <v/>
      </c>
      <c r="I140" s="22" t="str">
        <f>IF(OR(Таблица26[[#This Row],[Столбец5]]="отсутствует",Таблица26[[#This Row],[Столбец5]]=""),"",VLOOKUP(A140,'Р 4. Показатели_индикаторы'!$A$9:$J$103,3,FALSE))</f>
        <v/>
      </c>
      <c r="J140" s="22" t="str">
        <f>IF(OR(Таблица26[[#This Row],[Столбец5]]="отсутствует",Таблица26[[#This Row],[Столбец5]]=""),"",VLOOKUP(A140,'Р 4. Показатели_индикаторы'!$A$9:$J$103,4,FALSE))</f>
        <v/>
      </c>
      <c r="K140" s="22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Показатели_индикаторы'!$A$9:$J$103,5,FALSE))</f>
        <v/>
      </c>
      <c r="L140" s="22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Показатели_индикаторы'!$A$9:$J$103,6,FALSE))</f>
        <v/>
      </c>
      <c r="M140" s="22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Показатели_индикаторы'!$A$9:$J$103,7,FALSE))</f>
        <v/>
      </c>
      <c r="N140" s="22" t="str">
        <f>IF(OR(Таблица26[[#This Row],[Столбец1]]="",Таблица26[[#This Row],[Столбец5]]="",Таблица26[[#This Row],[Столбец5]]="отсутствует"),"",VLOOKUP(A140,'Р 4. Показатели_индикаторы'!$A$9:$J$103,8,FALSE))</f>
        <v/>
      </c>
      <c r="O140" s="24" t="str">
        <f>IF(VLOOKUP(A140,'Р 1. "Общие сведения"'!$I$8:$L$180,4,FALSE)="","",VLOOKUP(A140,'Р 1. "Общие сведения"'!$I$8:$L$180,4,FALSE))</f>
        <v/>
      </c>
    </row>
    <row r="141">
      <c r="A141" s="16" t="str">
        <f>IF('Р 1. "Общие сведения"'!I142="","",'Р 1. "Общие сведения"'!I142)</f>
        <v xml:space="preserve"> </v>
      </c>
      <c r="B141" s="17" t="str">
        <f>IF('Р 1. "Общие сведения"'!J142="","",'Р 1. "Общие сведения"'!J142)</f>
        <v/>
      </c>
      <c r="C141" s="17" t="str">
        <f>IF('Р 1. "Общие сведения"'!H142="","",'Р 1. "Общие сведения"'!H142)</f>
        <v/>
      </c>
      <c r="D141" s="17" t="str">
        <f>IF('Р 1. "Общие сведения"'!D142="","",'Р 1. "Общие сведения"'!D142)</f>
        <v/>
      </c>
      <c r="E141" s="17" t="str">
        <f>IF('Р 1. "Общие сведения"'!K142="","",'Р 1. "Общие сведения"'!K142)</f>
        <v/>
      </c>
      <c r="F141" s="18" t="str">
        <f>IF(OR(Таблица26[[#This Row],[Столбец1]]="",Таблица26[[#This Row],[Столбец5]]="",),"",VLOOKUP(A141,Таблица9[#All],2,FALSE))</f>
        <v/>
      </c>
      <c r="G141" s="21" t="str">
        <f>IF(OR(Таблица26[[#This Row],[Столбец1]]="",Таблица26[[#This Row],[Столбец5]]=""),"",VLOOKUP(A141,'Р 5. Финансирование'!$A$9:$D$89,3,FALSE))</f>
        <v/>
      </c>
      <c r="H141" s="21" t="str">
        <f>IF(OR(Таблица26[[#This Row],[Столбец1]]="",Таблица26[[#This Row],[Столбец5]]=""),"",VLOOKUP(A141,'Р 5. Финансирование'!$A$9:$D$89,4,FALSE))</f>
        <v/>
      </c>
      <c r="I141" s="22" t="str">
        <f>IF(OR(Таблица26[[#This Row],[Столбец5]]="отсутствует",Таблица26[[#This Row],[Столбец5]]=""),"",VLOOKUP(A141,'Р 4. Показатели_индикаторы'!$A$9:$J$103,3,FALSE))</f>
        <v/>
      </c>
      <c r="J141" s="22" t="str">
        <f>IF(OR(Таблица26[[#This Row],[Столбец5]]="отсутствует",Таблица26[[#This Row],[Столбец5]]=""),"",VLOOKUP(A141,'Р 4. Показатели_индикаторы'!$A$9:$J$103,4,FALSE))</f>
        <v/>
      </c>
      <c r="K141" s="22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Показатели_индикаторы'!$A$9:$J$103,5,FALSE))</f>
        <v/>
      </c>
      <c r="L141" s="22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Показатели_индикаторы'!$A$9:$J$103,6,FALSE))</f>
        <v/>
      </c>
      <c r="M141" s="22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Показатели_индикаторы'!$A$9:$J$103,7,FALSE))</f>
        <v/>
      </c>
      <c r="N141" s="22" t="str">
        <f>IF(OR(Таблица26[[#This Row],[Столбец1]]="",Таблица26[[#This Row],[Столбец5]]="",Таблица26[[#This Row],[Столбец5]]="отсутствует"),"",VLOOKUP(A141,'Р 4. Показатели_индикаторы'!$A$9:$J$103,8,FALSE))</f>
        <v/>
      </c>
      <c r="O141" s="24" t="str">
        <f>IF(VLOOKUP(A141,'Р 1. "Общие сведения"'!$I$8:$L$180,4,FALSE)="","",VLOOKUP(A141,'Р 1. "Общие сведения"'!$I$8:$L$180,4,FALSE))</f>
        <v/>
      </c>
    </row>
    <row r="142">
      <c r="A142" s="16" t="str">
        <f>IF('Р 1. "Общие сведения"'!I143="","",'Р 1. "Общие сведения"'!I143)</f>
        <v xml:space="preserve"> </v>
      </c>
      <c r="B142" s="17" t="str">
        <f>IF('Р 1. "Общие сведения"'!J143="","",'Р 1. "Общие сведения"'!J143)</f>
        <v/>
      </c>
      <c r="C142" s="17" t="str">
        <f>IF('Р 1. "Общие сведения"'!H143="","",'Р 1. "Общие сведения"'!H143)</f>
        <v/>
      </c>
      <c r="D142" s="17" t="str">
        <f>IF('Р 1. "Общие сведения"'!D143="","",'Р 1. "Общие сведения"'!D143)</f>
        <v/>
      </c>
      <c r="E142" s="17" t="str">
        <f>IF('Р 1. "Общие сведения"'!K143="","",'Р 1. "Общие сведения"'!K143)</f>
        <v/>
      </c>
      <c r="F142" s="18" t="str">
        <f>IF(OR(Таблица26[[#This Row],[Столбец1]]="",Таблица26[[#This Row],[Столбец5]]="",),"",VLOOKUP(A142,Таблица9[#All],2,FALSE))</f>
        <v/>
      </c>
      <c r="G142" s="21" t="str">
        <f>IF(OR(Таблица26[[#This Row],[Столбец1]]="",Таблица26[[#This Row],[Столбец5]]=""),"",VLOOKUP(A142,'Р 5. Финансирование'!$A$9:$D$89,3,FALSE))</f>
        <v/>
      </c>
      <c r="H142" s="21" t="str">
        <f>IF(OR(Таблица26[[#This Row],[Столбец1]]="",Таблица26[[#This Row],[Столбец5]]=""),"",VLOOKUP(A142,'Р 5. Финансирование'!$A$9:$D$89,4,FALSE))</f>
        <v/>
      </c>
      <c r="I142" s="22" t="str">
        <f>IF(OR(Таблица26[[#This Row],[Столбец5]]="отсутствует",Таблица26[[#This Row],[Столбец5]]=""),"",VLOOKUP(A142,'Р 4. Показатели_индикаторы'!$A$9:$J$103,3,FALSE))</f>
        <v/>
      </c>
      <c r="J142" s="22" t="str">
        <f>IF(OR(Таблица26[[#This Row],[Столбец5]]="отсутствует",Таблица26[[#This Row],[Столбец5]]=""),"",VLOOKUP(A142,'Р 4. Показатели_индикаторы'!$A$9:$J$103,4,FALSE))</f>
        <v/>
      </c>
      <c r="K142" s="22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Показатели_индикаторы'!$A$9:$J$103,5,FALSE))</f>
        <v/>
      </c>
      <c r="L142" s="22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Показатели_индикаторы'!$A$9:$J$103,6,FALSE))</f>
        <v/>
      </c>
      <c r="M142" s="22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Показатели_индикаторы'!$A$9:$J$103,7,FALSE))</f>
        <v/>
      </c>
      <c r="N142" s="22" t="str">
        <f>IF(OR(Таблица26[[#This Row],[Столбец1]]="",Таблица26[[#This Row],[Столбец5]]="",Таблица26[[#This Row],[Столбец5]]="отсутствует"),"",VLOOKUP(A142,'Р 4. Показатели_индикаторы'!$A$9:$J$103,8,FALSE))</f>
        <v/>
      </c>
      <c r="O142" s="24" t="str">
        <f>IF(VLOOKUP(A142,'Р 1. "Общие сведения"'!$I$8:$L$180,4,FALSE)="","",VLOOKUP(A142,'Р 1. "Общие сведения"'!$I$8:$L$180,4,FALSE))</f>
        <v/>
      </c>
    </row>
    <row r="143">
      <c r="A143" s="16" t="str">
        <f>IF('Р 1. "Общие сведения"'!I144="","",'Р 1. "Общие сведения"'!I144)</f>
        <v xml:space="preserve"> </v>
      </c>
      <c r="B143" s="17" t="str">
        <f>IF('Р 1. "Общие сведения"'!J144="","",'Р 1. "Общие сведения"'!J144)</f>
        <v/>
      </c>
      <c r="C143" s="17" t="str">
        <f>IF('Р 1. "Общие сведения"'!H144="","",'Р 1. "Общие сведения"'!H144)</f>
        <v/>
      </c>
      <c r="D143" s="17" t="str">
        <f>IF('Р 1. "Общие сведения"'!D144="","",'Р 1. "Общие сведения"'!D144)</f>
        <v/>
      </c>
      <c r="E143" s="17" t="str">
        <f>IF('Р 1. "Общие сведения"'!K144="","",'Р 1. "Общие сведения"'!K144)</f>
        <v/>
      </c>
      <c r="F143" s="18" t="str">
        <f>IF(OR(Таблица26[[#This Row],[Столбец1]]="",Таблица26[[#This Row],[Столбец5]]="",),"",VLOOKUP(A143,Таблица9[#All],2,FALSE))</f>
        <v/>
      </c>
      <c r="G143" s="21" t="str">
        <f>IF(OR(Таблица26[[#This Row],[Столбец1]]="",Таблица26[[#This Row],[Столбец5]]=""),"",VLOOKUP(A143,'Р 5. Финансирование'!$A$9:$D$89,3,FALSE))</f>
        <v/>
      </c>
      <c r="H143" s="21" t="str">
        <f>IF(OR(Таблица26[[#This Row],[Столбец1]]="",Таблица26[[#This Row],[Столбец5]]=""),"",VLOOKUP(A143,'Р 5. Финансирование'!$A$9:$D$89,4,FALSE))</f>
        <v/>
      </c>
      <c r="I143" s="22" t="str">
        <f>IF(OR(Таблица26[[#This Row],[Столбец5]]="отсутствует",Таблица26[[#This Row],[Столбец5]]=""),"",VLOOKUP(A143,'Р 4. Показатели_индикаторы'!$A$9:$J$103,3,FALSE))</f>
        <v/>
      </c>
      <c r="J143" s="22" t="str">
        <f>IF(OR(Таблица26[[#This Row],[Столбец5]]="отсутствует",Таблица26[[#This Row],[Столбец5]]=""),"",VLOOKUP(A143,'Р 4. Показатели_индикаторы'!$A$9:$J$103,4,FALSE))</f>
        <v/>
      </c>
      <c r="K143" s="22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Показатели_индикаторы'!$A$9:$J$103,5,FALSE))</f>
        <v/>
      </c>
      <c r="L143" s="22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Показатели_индикаторы'!$A$9:$J$103,6,FALSE))</f>
        <v/>
      </c>
      <c r="M143" s="22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Показатели_индикаторы'!$A$9:$J$103,7,FALSE))</f>
        <v/>
      </c>
      <c r="N143" s="22" t="str">
        <f>IF(OR(Таблица26[[#This Row],[Столбец1]]="",Таблица26[[#This Row],[Столбец5]]="",Таблица26[[#This Row],[Столбец5]]="отсутствует"),"",VLOOKUP(A143,'Р 4. Показатели_индикаторы'!$A$9:$J$103,8,FALSE))</f>
        <v/>
      </c>
      <c r="O143" s="24" t="str">
        <f>IF(VLOOKUP(A143,'Р 1. "Общие сведения"'!$I$8:$L$180,4,FALSE)="","",VLOOKUP(A143,'Р 1. "Общие сведения"'!$I$8:$L$180,4,FALSE))</f>
        <v/>
      </c>
    </row>
    <row r="144">
      <c r="A144" s="16" t="str">
        <f>IF('Р 1. "Общие сведения"'!I145="","",'Р 1. "Общие сведения"'!I145)</f>
        <v xml:space="preserve"> </v>
      </c>
      <c r="B144" s="17" t="str">
        <f>IF('Р 1. "Общие сведения"'!J145="","",'Р 1. "Общие сведения"'!J145)</f>
        <v/>
      </c>
      <c r="C144" s="17" t="str">
        <f>IF('Р 1. "Общие сведения"'!H145="","",'Р 1. "Общие сведения"'!H145)</f>
        <v/>
      </c>
      <c r="D144" s="17" t="str">
        <f>IF('Р 1. "Общие сведения"'!D145="","",'Р 1. "Общие сведения"'!D145)</f>
        <v/>
      </c>
      <c r="E144" s="17" t="str">
        <f>IF('Р 1. "Общие сведения"'!K145="","",'Р 1. "Общие сведения"'!K145)</f>
        <v/>
      </c>
      <c r="F144" s="18" t="str">
        <f>IF(OR(Таблица26[[#This Row],[Столбец1]]="",Таблица26[[#This Row],[Столбец5]]="",),"",VLOOKUP(A144,Таблица9[#All],2,FALSE))</f>
        <v/>
      </c>
      <c r="G144" s="21" t="str">
        <f>IF(OR(Таблица26[[#This Row],[Столбец1]]="",Таблица26[[#This Row],[Столбец5]]=""),"",VLOOKUP(A144,'Р 5. Финансирование'!$A$9:$D$89,3,FALSE))</f>
        <v/>
      </c>
      <c r="H144" s="21" t="str">
        <f>IF(OR(Таблица26[[#This Row],[Столбец1]]="",Таблица26[[#This Row],[Столбец5]]=""),"",VLOOKUP(A144,'Р 5. Финансирование'!$A$9:$D$89,4,FALSE))</f>
        <v/>
      </c>
      <c r="I144" s="22" t="str">
        <f>IF(OR(Таблица26[[#This Row],[Столбец5]]="отсутствует",Таблица26[[#This Row],[Столбец5]]=""),"",VLOOKUP(A144,'Р 4. Показатели_индикаторы'!$A$9:$J$103,3,FALSE))</f>
        <v/>
      </c>
      <c r="J144" s="22" t="str">
        <f>IF(OR(Таблица26[[#This Row],[Столбец5]]="отсутствует",Таблица26[[#This Row],[Столбец5]]=""),"",VLOOKUP(A144,'Р 4. Показатели_индикаторы'!$A$9:$J$103,4,FALSE))</f>
        <v/>
      </c>
      <c r="K144" s="22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Показатели_индикаторы'!$A$9:$J$103,5,FALSE))</f>
        <v/>
      </c>
      <c r="L144" s="22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Показатели_индикаторы'!$A$9:$J$103,6,FALSE))</f>
        <v/>
      </c>
      <c r="M144" s="22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Показатели_индикаторы'!$A$9:$J$103,7,FALSE))</f>
        <v/>
      </c>
      <c r="N144" s="22" t="str">
        <f>IF(OR(Таблица26[[#This Row],[Столбец1]]="",Таблица26[[#This Row],[Столбец5]]="",Таблица26[[#This Row],[Столбец5]]="отсутствует"),"",VLOOKUP(A144,'Р 4. Показатели_индикаторы'!$A$9:$J$103,8,FALSE))</f>
        <v/>
      </c>
      <c r="O144" s="24" t="str">
        <f>IF(VLOOKUP(A144,'Р 1. "Общие сведения"'!$I$8:$L$180,4,FALSE)="","",VLOOKUP(A144,'Р 1. "Общие сведения"'!$I$8:$L$180,4,FALSE))</f>
        <v/>
      </c>
    </row>
    <row r="145">
      <c r="A145" s="16" t="str">
        <f>IF('Р 1. "Общие сведения"'!I146="","",'Р 1. "Общие сведения"'!I146)</f>
        <v xml:space="preserve"> </v>
      </c>
      <c r="B145" s="17" t="str">
        <f>IF('Р 1. "Общие сведения"'!J146="","",'Р 1. "Общие сведения"'!J146)</f>
        <v/>
      </c>
      <c r="C145" s="17" t="str">
        <f>IF('Р 1. "Общие сведения"'!H146="","",'Р 1. "Общие сведения"'!H146)</f>
        <v/>
      </c>
      <c r="D145" s="17" t="str">
        <f>IF('Р 1. "Общие сведения"'!D146="","",'Р 1. "Общие сведения"'!D146)</f>
        <v/>
      </c>
      <c r="E145" s="17" t="str">
        <f>IF('Р 1. "Общие сведения"'!K146="","",'Р 1. "Общие сведения"'!K146)</f>
        <v/>
      </c>
      <c r="F145" s="18" t="str">
        <f>IF(OR(Таблица26[[#This Row],[Столбец1]]="",Таблица26[[#This Row],[Столбец5]]="",),"",VLOOKUP(A145,Таблица9[#All],2,FALSE))</f>
        <v/>
      </c>
      <c r="G145" s="21" t="str">
        <f>IF(OR(Таблица26[[#This Row],[Столбец1]]="",Таблица26[[#This Row],[Столбец5]]=""),"",VLOOKUP(A145,'Р 5. Финансирование'!$A$9:$D$89,3,FALSE))</f>
        <v/>
      </c>
      <c r="H145" s="21" t="str">
        <f>IF(OR(Таблица26[[#This Row],[Столбец1]]="",Таблица26[[#This Row],[Столбец5]]=""),"",VLOOKUP(A145,'Р 5. Финансирование'!$A$9:$D$89,4,FALSE))</f>
        <v/>
      </c>
      <c r="I145" s="22" t="str">
        <f>IF(OR(Таблица26[[#This Row],[Столбец5]]="отсутствует",Таблица26[[#This Row],[Столбец5]]=""),"",VLOOKUP(A145,'Р 4. Показатели_индикаторы'!$A$9:$J$103,3,FALSE))</f>
        <v/>
      </c>
      <c r="J145" s="22" t="str">
        <f>IF(OR(Таблица26[[#This Row],[Столбец5]]="отсутствует",Таблица26[[#This Row],[Столбец5]]=""),"",VLOOKUP(A145,'Р 4. Показатели_индикаторы'!$A$9:$J$103,4,FALSE))</f>
        <v/>
      </c>
      <c r="K145" s="22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Показатели_индикаторы'!$A$9:$J$103,5,FALSE))</f>
        <v/>
      </c>
      <c r="L145" s="22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Показатели_индикаторы'!$A$9:$J$103,6,FALSE))</f>
        <v/>
      </c>
      <c r="M145" s="22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Показатели_индикаторы'!$A$9:$J$103,7,FALSE))</f>
        <v/>
      </c>
      <c r="N145" s="22" t="str">
        <f>IF(OR(Таблица26[[#This Row],[Столбец1]]="",Таблица26[[#This Row],[Столбец5]]="",Таблица26[[#This Row],[Столбец5]]="отсутствует"),"",VLOOKUP(A145,'Р 4. Показатели_индикаторы'!$A$9:$J$103,8,FALSE))</f>
        <v/>
      </c>
      <c r="O145" s="24" t="str">
        <f>IF(VLOOKUP(A145,'Р 1. "Общие сведения"'!$I$8:$L$180,4,FALSE)="","",VLOOKUP(A145,'Р 1. "Общие сведения"'!$I$8:$L$180,4,FALSE))</f>
        <v/>
      </c>
    </row>
    <row r="146">
      <c r="A146" s="16" t="str">
        <f>IF('Р 1. "Общие сведения"'!I147="","",'Р 1. "Общие сведения"'!I147)</f>
        <v xml:space="preserve"> </v>
      </c>
      <c r="B146" s="17" t="str">
        <f>IF('Р 1. "Общие сведения"'!J147="","",'Р 1. "Общие сведения"'!J147)</f>
        <v/>
      </c>
      <c r="C146" s="17" t="str">
        <f>IF('Р 1. "Общие сведения"'!H147="","",'Р 1. "Общие сведения"'!H147)</f>
        <v/>
      </c>
      <c r="D146" s="17" t="str">
        <f>IF('Р 1. "Общие сведения"'!D147="","",'Р 1. "Общие сведения"'!D147)</f>
        <v/>
      </c>
      <c r="E146" s="17" t="str">
        <f>IF('Р 1. "Общие сведения"'!K147="","",'Р 1. "Общие сведения"'!K147)</f>
        <v/>
      </c>
      <c r="F146" s="18" t="str">
        <f>IF(OR(Таблица26[[#This Row],[Столбец1]]="",Таблица26[[#This Row],[Столбец5]]="",),"",VLOOKUP(A146,Таблица9[#All],2,FALSE))</f>
        <v/>
      </c>
      <c r="G146" s="21" t="str">
        <f>IF(OR(Таблица26[[#This Row],[Столбец1]]="",Таблица26[[#This Row],[Столбец5]]=""),"",VLOOKUP(A146,'Р 5. Финансирование'!$A$9:$D$89,3,FALSE))</f>
        <v/>
      </c>
      <c r="H146" s="21" t="str">
        <f>IF(OR(Таблица26[[#This Row],[Столбец1]]="",Таблица26[[#This Row],[Столбец5]]=""),"",VLOOKUP(A146,'Р 5. Финансирование'!$A$9:$D$89,4,FALSE))</f>
        <v/>
      </c>
      <c r="I146" s="22" t="str">
        <f>IF(OR(Таблица26[[#This Row],[Столбец5]]="отсутствует",Таблица26[[#This Row],[Столбец5]]=""),"",VLOOKUP(A146,'Р 4. Показатели_индикаторы'!$A$9:$J$103,3,FALSE))</f>
        <v/>
      </c>
      <c r="J146" s="22" t="str">
        <f>IF(OR(Таблица26[[#This Row],[Столбец5]]="отсутствует",Таблица26[[#This Row],[Столбец5]]=""),"",VLOOKUP(A146,'Р 4. Показатели_индикаторы'!$A$9:$J$103,4,FALSE))</f>
        <v/>
      </c>
      <c r="K146" s="22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Показатели_индикаторы'!$A$9:$J$103,5,FALSE))</f>
        <v/>
      </c>
      <c r="L146" s="22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Показатели_индикаторы'!$A$9:$J$103,6,FALSE))</f>
        <v/>
      </c>
      <c r="M146" s="22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Показатели_индикаторы'!$A$9:$J$103,7,FALSE))</f>
        <v/>
      </c>
      <c r="N146" s="22" t="str">
        <f>IF(OR(Таблица26[[#This Row],[Столбец1]]="",Таблица26[[#This Row],[Столбец5]]="",Таблица26[[#This Row],[Столбец5]]="отсутствует"),"",VLOOKUP(A146,'Р 4. Показатели_индикаторы'!$A$9:$J$103,8,FALSE))</f>
        <v/>
      </c>
      <c r="O146" s="24" t="str">
        <f>IF(VLOOKUP(A146,'Р 1. "Общие сведения"'!$I$8:$L$180,4,FALSE)="","",VLOOKUP(A146,'Р 1. "Общие сведения"'!$I$8:$L$180,4,FALSE))</f>
        <v/>
      </c>
    </row>
    <row r="147">
      <c r="A147" s="16" t="str">
        <f>IF('Р 1. "Общие сведения"'!I148="","",'Р 1. "Общие сведения"'!I148)</f>
        <v xml:space="preserve"> </v>
      </c>
      <c r="B147" s="17" t="str">
        <f>IF('Р 1. "Общие сведения"'!J148="","",'Р 1. "Общие сведения"'!J148)</f>
        <v/>
      </c>
      <c r="C147" s="17" t="str">
        <f>IF('Р 1. "Общие сведения"'!H148="","",'Р 1. "Общие сведения"'!H148)</f>
        <v/>
      </c>
      <c r="D147" s="17" t="str">
        <f>IF('Р 1. "Общие сведения"'!D148="","",'Р 1. "Общие сведения"'!D148)</f>
        <v/>
      </c>
      <c r="E147" s="17" t="str">
        <f>IF('Р 1. "Общие сведения"'!K148="","",'Р 1. "Общие сведения"'!K148)</f>
        <v/>
      </c>
      <c r="F147" s="18" t="str">
        <f>IF(OR(Таблица26[[#This Row],[Столбец1]]="",Таблица26[[#This Row],[Столбец5]]="",),"",VLOOKUP(A147,Таблица9[#All],2,FALSE))</f>
        <v/>
      </c>
      <c r="G147" s="21" t="str">
        <f>IF(OR(Таблица26[[#This Row],[Столбец1]]="",Таблица26[[#This Row],[Столбец5]]=""),"",VLOOKUP(A147,'Р 5. Финансирование'!$A$9:$D$89,3,FALSE))</f>
        <v/>
      </c>
      <c r="H147" s="21" t="str">
        <f>IF(OR(Таблица26[[#This Row],[Столбец1]]="",Таблица26[[#This Row],[Столбец5]]=""),"",VLOOKUP(A147,'Р 5. Финансирование'!$A$9:$D$89,4,FALSE))</f>
        <v/>
      </c>
      <c r="I147" s="22" t="str">
        <f>IF(OR(Таблица26[[#This Row],[Столбец5]]="отсутствует",Таблица26[[#This Row],[Столбец5]]=""),"",VLOOKUP(A147,'Р 4. Показатели_индикаторы'!$A$9:$J$103,3,FALSE))</f>
        <v/>
      </c>
      <c r="J147" s="22" t="str">
        <f>IF(OR(Таблица26[[#This Row],[Столбец5]]="отсутствует",Таблица26[[#This Row],[Столбец5]]=""),"",VLOOKUP(A147,'Р 4. Показатели_индикаторы'!$A$9:$J$103,4,FALSE))</f>
        <v/>
      </c>
      <c r="K147" s="22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Показатели_индикаторы'!$A$9:$J$103,5,FALSE))</f>
        <v/>
      </c>
      <c r="L147" s="22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Показатели_индикаторы'!$A$9:$J$103,6,FALSE))</f>
        <v/>
      </c>
      <c r="M147" s="22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Показатели_индикаторы'!$A$9:$J$103,7,FALSE))</f>
        <v/>
      </c>
      <c r="N147" s="22" t="str">
        <f>IF(OR(Таблица26[[#This Row],[Столбец1]]="",Таблица26[[#This Row],[Столбец5]]="",Таблица26[[#This Row],[Столбец5]]="отсутствует"),"",VLOOKUP(A147,'Р 4. Показатели_индикаторы'!$A$9:$J$103,8,FALSE))</f>
        <v/>
      </c>
      <c r="O147" s="24" t="str">
        <f>IF(VLOOKUP(A147,'Р 1. "Общие сведения"'!$I$8:$L$180,4,FALSE)="","",VLOOKUP(A147,'Р 1. "Общие сведения"'!$I$8:$L$180,4,FALSE))</f>
        <v/>
      </c>
    </row>
    <row r="148">
      <c r="A148" s="16" t="str">
        <f>IF('Р 1. "Общие сведения"'!I149="","",'Р 1. "Общие сведения"'!I149)</f>
        <v xml:space="preserve"> </v>
      </c>
      <c r="B148" s="17" t="str">
        <f>IF('Р 1. "Общие сведения"'!J149="","",'Р 1. "Общие сведения"'!J149)</f>
        <v/>
      </c>
      <c r="C148" s="17" t="str">
        <f>IF('Р 1. "Общие сведения"'!H149="","",'Р 1. "Общие сведения"'!H149)</f>
        <v/>
      </c>
      <c r="D148" s="17" t="str">
        <f>IF('Р 1. "Общие сведения"'!D149="","",'Р 1. "Общие сведения"'!D149)</f>
        <v/>
      </c>
      <c r="E148" s="17" t="str">
        <f>IF('Р 1. "Общие сведения"'!K149="","",'Р 1. "Общие сведения"'!K149)</f>
        <v/>
      </c>
      <c r="F148" s="18" t="str">
        <f>IF(OR(Таблица26[[#This Row],[Столбец1]]="",Таблица26[[#This Row],[Столбец5]]="",),"",VLOOKUP(A148,Таблица9[#All],2,FALSE))</f>
        <v/>
      </c>
      <c r="G148" s="21" t="str">
        <f>IF(OR(Таблица26[[#This Row],[Столбец1]]="",Таблица26[[#This Row],[Столбец5]]=""),"",VLOOKUP(A148,'Р 5. Финансирование'!$A$9:$D$89,3,FALSE))</f>
        <v/>
      </c>
      <c r="H148" s="21" t="str">
        <f>IF(OR(Таблица26[[#This Row],[Столбец1]]="",Таблица26[[#This Row],[Столбец5]]=""),"",VLOOKUP(A148,'Р 5. Финансирование'!$A$9:$D$89,4,FALSE))</f>
        <v/>
      </c>
      <c r="I148" s="22" t="str">
        <f>IF(OR(Таблица26[[#This Row],[Столбец5]]="отсутствует",Таблица26[[#This Row],[Столбец5]]=""),"",VLOOKUP(A148,'Р 4. Показатели_индикаторы'!$A$9:$J$103,3,FALSE))</f>
        <v/>
      </c>
      <c r="J148" s="22" t="str">
        <f>IF(OR(Таблица26[[#This Row],[Столбец5]]="отсутствует",Таблица26[[#This Row],[Столбец5]]=""),"",VLOOKUP(A148,'Р 4. Показатели_индикаторы'!$A$9:$J$103,4,FALSE))</f>
        <v/>
      </c>
      <c r="K148" s="22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Показатели_индикаторы'!$A$9:$J$103,5,FALSE))</f>
        <v/>
      </c>
      <c r="L148" s="22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Показатели_индикаторы'!$A$9:$J$103,6,FALSE))</f>
        <v/>
      </c>
      <c r="M148" s="22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Показатели_индикаторы'!$A$9:$J$103,7,FALSE))</f>
        <v/>
      </c>
      <c r="N148" s="22" t="str">
        <f>IF(OR(Таблица26[[#This Row],[Столбец1]]="",Таблица26[[#This Row],[Столбец5]]="",Таблица26[[#This Row],[Столбец5]]="отсутствует"),"",VLOOKUP(A148,'Р 4. Показатели_индикаторы'!$A$9:$J$103,8,FALSE))</f>
        <v/>
      </c>
      <c r="O148" s="24" t="str">
        <f>IF(VLOOKUP(A148,'Р 1. "Общие сведения"'!$I$8:$L$180,4,FALSE)="","",VLOOKUP(A148,'Р 1. "Общие сведения"'!$I$8:$L$180,4,FALSE))</f>
        <v/>
      </c>
    </row>
    <row r="149">
      <c r="A149" s="16" t="str">
        <f>IF('Р 1. "Общие сведения"'!I150="","",'Р 1. "Общие сведения"'!I150)</f>
        <v xml:space="preserve"> </v>
      </c>
      <c r="B149" s="17" t="str">
        <f>IF('Р 1. "Общие сведения"'!J150="","",'Р 1. "Общие сведения"'!J150)</f>
        <v/>
      </c>
      <c r="C149" s="17" t="str">
        <f>IF('Р 1. "Общие сведения"'!H150="","",'Р 1. "Общие сведения"'!H150)</f>
        <v/>
      </c>
      <c r="D149" s="17" t="str">
        <f>IF('Р 1. "Общие сведения"'!D150="","",'Р 1. "Общие сведения"'!D150)</f>
        <v/>
      </c>
      <c r="E149" s="17" t="str">
        <f>IF('Р 1. "Общие сведения"'!K150="","",'Р 1. "Общие сведения"'!K150)</f>
        <v/>
      </c>
      <c r="F149" s="18" t="str">
        <f>IF(OR(Таблица26[[#This Row],[Столбец1]]="",Таблица26[[#This Row],[Столбец5]]="",),"",VLOOKUP(A149,Таблица9[#All],2,FALSE))</f>
        <v/>
      </c>
      <c r="G149" s="21" t="str">
        <f>IF(OR(Таблица26[[#This Row],[Столбец1]]="",Таблица26[[#This Row],[Столбец5]]=""),"",VLOOKUP(A149,'Р 5. Финансирование'!$A$9:$D$89,3,FALSE))</f>
        <v/>
      </c>
      <c r="H149" s="21" t="str">
        <f>IF(OR(Таблица26[[#This Row],[Столбец1]]="",Таблица26[[#This Row],[Столбец5]]=""),"",VLOOKUP(A149,'Р 5. Финансирование'!$A$9:$D$89,4,FALSE))</f>
        <v/>
      </c>
      <c r="I149" s="22" t="str">
        <f>IF(OR(Таблица26[[#This Row],[Столбец5]]="отсутствует",Таблица26[[#This Row],[Столбец5]]=""),"",VLOOKUP(A149,'Р 4. Показатели_индикаторы'!$A$9:$J$103,3,FALSE))</f>
        <v/>
      </c>
      <c r="J149" s="22" t="str">
        <f>IF(OR(Таблица26[[#This Row],[Столбец5]]="отсутствует",Таблица26[[#This Row],[Столбец5]]=""),"",VLOOKUP(A149,'Р 4. Показатели_индикаторы'!$A$9:$J$103,4,FALSE))</f>
        <v/>
      </c>
      <c r="K149" s="22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Показатели_индикаторы'!$A$9:$J$103,5,FALSE))</f>
        <v/>
      </c>
      <c r="L149" s="22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Показатели_индикаторы'!$A$9:$J$103,6,FALSE))</f>
        <v/>
      </c>
      <c r="M149" s="22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Показатели_индикаторы'!$A$9:$J$103,7,FALSE))</f>
        <v/>
      </c>
      <c r="N149" s="22" t="str">
        <f>IF(OR(Таблица26[[#This Row],[Столбец1]]="",Таблица26[[#This Row],[Столбец5]]="",Таблица26[[#This Row],[Столбец5]]="отсутствует"),"",VLOOKUP(A149,'Р 4. Показатели_индикаторы'!$A$9:$J$103,8,FALSE))</f>
        <v/>
      </c>
      <c r="O149" s="24" t="str">
        <f>IF(VLOOKUP(A149,'Р 1. "Общие сведения"'!$I$8:$L$180,4,FALSE)="","",VLOOKUP(A149,'Р 1. "Общие сведения"'!$I$8:$L$180,4,FALSE))</f>
        <v/>
      </c>
    </row>
    <row r="150">
      <c r="A150" s="16" t="str">
        <f>IF('Р 1. "Общие сведения"'!I151="","",'Р 1. "Общие сведения"'!I151)</f>
        <v xml:space="preserve"> </v>
      </c>
      <c r="B150" s="17" t="str">
        <f>IF('Р 1. "Общие сведения"'!J151="","",'Р 1. "Общие сведения"'!J151)</f>
        <v/>
      </c>
      <c r="C150" s="17" t="str">
        <f>IF('Р 1. "Общие сведения"'!H151="","",'Р 1. "Общие сведения"'!H151)</f>
        <v/>
      </c>
      <c r="D150" s="17" t="str">
        <f>IF('Р 1. "Общие сведения"'!D151="","",'Р 1. "Общие сведения"'!D151)</f>
        <v/>
      </c>
      <c r="E150" s="17" t="str">
        <f>IF('Р 1. "Общие сведения"'!K151="","",'Р 1. "Общие сведения"'!K151)</f>
        <v/>
      </c>
      <c r="F150" s="18" t="str">
        <f>IF(OR(Таблица26[[#This Row],[Столбец1]]="",Таблица26[[#This Row],[Столбец5]]="",),"",VLOOKUP(A150,Таблица9[#All],2,FALSE))</f>
        <v/>
      </c>
      <c r="G150" s="21" t="str">
        <f>IF(OR(Таблица26[[#This Row],[Столбец1]]="",Таблица26[[#This Row],[Столбец5]]=""),"",VLOOKUP(A150,'Р 5. Финансирование'!$A$9:$D$89,3,FALSE))</f>
        <v/>
      </c>
      <c r="H150" s="21" t="str">
        <f>IF(OR(Таблица26[[#This Row],[Столбец1]]="",Таблица26[[#This Row],[Столбец5]]=""),"",VLOOKUP(A150,'Р 5. Финансирование'!$A$9:$D$89,4,FALSE))</f>
        <v/>
      </c>
      <c r="I150" s="22" t="str">
        <f>IF(OR(Таблица26[[#This Row],[Столбец5]]="отсутствует",Таблица26[[#This Row],[Столбец5]]=""),"",VLOOKUP(A150,'Р 4. Показатели_индикаторы'!$A$9:$J$103,3,FALSE))</f>
        <v/>
      </c>
      <c r="J150" s="22" t="str">
        <f>IF(OR(Таблица26[[#This Row],[Столбец5]]="отсутствует",Таблица26[[#This Row],[Столбец5]]=""),"",VLOOKUP(A150,'Р 4. Показатели_индикаторы'!$A$9:$J$103,4,FALSE))</f>
        <v/>
      </c>
      <c r="K150" s="22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Показатели_индикаторы'!$A$9:$J$103,5,FALSE))</f>
        <v/>
      </c>
      <c r="L150" s="22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Показатели_индикаторы'!$A$9:$J$103,6,FALSE))</f>
        <v/>
      </c>
      <c r="M150" s="22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Показатели_индикаторы'!$A$9:$J$103,7,FALSE))</f>
        <v/>
      </c>
      <c r="N150" s="22" t="str">
        <f>IF(OR(Таблица26[[#This Row],[Столбец1]]="",Таблица26[[#This Row],[Столбец5]]="",Таблица26[[#This Row],[Столбец5]]="отсутствует"),"",VLOOKUP(A150,'Р 4. Показатели_индикаторы'!$A$9:$J$103,8,FALSE))</f>
        <v/>
      </c>
      <c r="O150" s="24" t="str">
        <f>IF(VLOOKUP(A150,'Р 1. "Общие сведения"'!$I$8:$L$180,4,FALSE)="","",VLOOKUP(A150,'Р 1. "Общие сведения"'!$I$8:$L$180,4,FALSE))</f>
        <v/>
      </c>
    </row>
    <row r="151">
      <c r="A151" s="16" t="str">
        <f>IF('Р 1. "Общие сведения"'!I152="","",'Р 1. "Общие сведения"'!I152)</f>
        <v xml:space="preserve"> </v>
      </c>
      <c r="B151" s="17" t="str">
        <f>IF('Р 1. "Общие сведения"'!J152="","",'Р 1. "Общие сведения"'!J152)</f>
        <v/>
      </c>
      <c r="C151" s="17" t="str">
        <f>IF('Р 1. "Общие сведения"'!H152="","",'Р 1. "Общие сведения"'!H152)</f>
        <v/>
      </c>
      <c r="D151" s="17" t="str">
        <f>IF('Р 1. "Общие сведения"'!D152="","",'Р 1. "Общие сведения"'!D152)</f>
        <v/>
      </c>
      <c r="E151" s="17" t="str">
        <f>IF('Р 1. "Общие сведения"'!K152="","",'Р 1. "Общие сведения"'!K152)</f>
        <v/>
      </c>
      <c r="F151" s="18" t="str">
        <f>IF(OR(Таблица26[[#This Row],[Столбец1]]="",Таблица26[[#This Row],[Столбец5]]="",),"",VLOOKUP(A151,Таблица9[#All],2,FALSE))</f>
        <v/>
      </c>
      <c r="G151" s="21" t="str">
        <f>IF(OR(Таблица26[[#This Row],[Столбец1]]="",Таблица26[[#This Row],[Столбец5]]=""),"",VLOOKUP(A151,'Р 5. Финансирование'!$A$9:$D$89,3,FALSE))</f>
        <v/>
      </c>
      <c r="H151" s="21" t="str">
        <f>IF(OR(Таблица26[[#This Row],[Столбец1]]="",Таблица26[[#This Row],[Столбец5]]=""),"",VLOOKUP(A151,'Р 5. Финансирование'!$A$9:$D$89,4,FALSE))</f>
        <v/>
      </c>
      <c r="I151" s="22" t="str">
        <f>IF(OR(Таблица26[[#This Row],[Столбец5]]="отсутствует",Таблица26[[#This Row],[Столбец5]]=""),"",VLOOKUP(A151,'Р 4. Показатели_индикаторы'!$A$9:$J$103,3,FALSE))</f>
        <v/>
      </c>
      <c r="J151" s="22" t="str">
        <f>IF(OR(Таблица26[[#This Row],[Столбец5]]="отсутствует",Таблица26[[#This Row],[Столбец5]]=""),"",VLOOKUP(A151,'Р 4. Показатели_индикаторы'!$A$9:$J$103,4,FALSE))</f>
        <v/>
      </c>
      <c r="K151" s="22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Показатели_индикаторы'!$A$9:$J$103,5,FALSE))</f>
        <v/>
      </c>
      <c r="L151" s="22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Показатели_индикаторы'!$A$9:$J$103,6,FALSE))</f>
        <v/>
      </c>
      <c r="M151" s="22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Показатели_индикаторы'!$A$9:$J$103,7,FALSE))</f>
        <v/>
      </c>
      <c r="N151" s="22" t="str">
        <f>IF(OR(Таблица26[[#This Row],[Столбец1]]="",Таблица26[[#This Row],[Столбец5]]="",Таблица26[[#This Row],[Столбец5]]="отсутствует"),"",VLOOKUP(A151,'Р 4. Показатели_индикаторы'!$A$9:$J$103,8,FALSE))</f>
        <v/>
      </c>
      <c r="O151" s="24" t="str">
        <f>IF(VLOOKUP(A151,'Р 1. "Общие сведения"'!$I$8:$L$180,4,FALSE)="","",VLOOKUP(A151,'Р 1. "Общие сведения"'!$I$8:$L$180,4,FALSE))</f>
        <v/>
      </c>
    </row>
    <row r="152">
      <c r="A152" s="16" t="str">
        <f>IF('Р 1. "Общие сведения"'!I153="","",'Р 1. "Общие сведения"'!I153)</f>
        <v xml:space="preserve"> </v>
      </c>
      <c r="B152" s="17" t="str">
        <f>IF('Р 1. "Общие сведения"'!J153="","",'Р 1. "Общие сведения"'!J153)</f>
        <v/>
      </c>
      <c r="C152" s="17" t="str">
        <f>IF('Р 1. "Общие сведения"'!H153="","",'Р 1. "Общие сведения"'!H153)</f>
        <v/>
      </c>
      <c r="D152" s="17" t="str">
        <f>IF('Р 1. "Общие сведения"'!D153="","",'Р 1. "Общие сведения"'!D153)</f>
        <v/>
      </c>
      <c r="E152" s="17" t="str">
        <f>IF('Р 1. "Общие сведения"'!K153="","",'Р 1. "Общие сведения"'!K153)</f>
        <v/>
      </c>
      <c r="F152" s="18" t="str">
        <f>IF(OR(Таблица26[[#This Row],[Столбец1]]="",Таблица26[[#This Row],[Столбец5]]="",),"",VLOOKUP(A152,Таблица9[#All],2,FALSE))</f>
        <v/>
      </c>
      <c r="G152" s="21" t="str">
        <f>IF(OR(Таблица26[[#This Row],[Столбец1]]="",Таблица26[[#This Row],[Столбец5]]=""),"",VLOOKUP(A152,'Р 5. Финансирование'!$A$9:$D$89,3,FALSE))</f>
        <v/>
      </c>
      <c r="H152" s="21" t="str">
        <f>IF(OR(Таблица26[[#This Row],[Столбец1]]="",Таблица26[[#This Row],[Столбец5]]=""),"",VLOOKUP(A152,'Р 5. Финансирование'!$A$9:$D$89,4,FALSE))</f>
        <v/>
      </c>
      <c r="I152" s="22" t="str">
        <f>IF(OR(Таблица26[[#This Row],[Столбец5]]="отсутствует",Таблица26[[#This Row],[Столбец5]]=""),"",VLOOKUP(A152,'Р 4. Показатели_индикаторы'!$A$9:$J$103,3,FALSE))</f>
        <v/>
      </c>
      <c r="J152" s="22" t="str">
        <f>IF(OR(Таблица26[[#This Row],[Столбец5]]="отсутствует",Таблица26[[#This Row],[Столбец5]]=""),"",VLOOKUP(A152,'Р 4. Показатели_индикаторы'!$A$9:$J$103,4,FALSE))</f>
        <v/>
      </c>
      <c r="K152" s="22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Показатели_индикаторы'!$A$9:$J$103,5,FALSE))</f>
        <v/>
      </c>
      <c r="L152" s="22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Показатели_индикаторы'!$A$9:$J$103,6,FALSE))</f>
        <v/>
      </c>
      <c r="M152" s="22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Показатели_индикаторы'!$A$9:$J$103,7,FALSE))</f>
        <v/>
      </c>
      <c r="N152" s="22" t="str">
        <f>IF(OR(Таблица26[[#This Row],[Столбец1]]="",Таблица26[[#This Row],[Столбец5]]="",Таблица26[[#This Row],[Столбец5]]="отсутствует"),"",VLOOKUP(A152,'Р 4. Показатели_индикаторы'!$A$9:$J$103,8,FALSE))</f>
        <v/>
      </c>
      <c r="O152" s="24" t="str">
        <f>IF(VLOOKUP(A152,'Р 1. "Общие сведения"'!$I$8:$L$180,4,FALSE)="","",VLOOKUP(A152,'Р 1. "Общие сведения"'!$I$8:$L$180,4,FALSE))</f>
        <v/>
      </c>
    </row>
    <row r="153">
      <c r="A153" s="16" t="str">
        <f>IF('Р 1. "Общие сведения"'!I154="","",'Р 1. "Общие сведения"'!I154)</f>
        <v xml:space="preserve"> </v>
      </c>
      <c r="B153" s="17" t="str">
        <f>IF('Р 1. "Общие сведения"'!J154="","",'Р 1. "Общие сведения"'!J154)</f>
        <v/>
      </c>
      <c r="C153" s="17" t="str">
        <f>IF('Р 1. "Общие сведения"'!H154="","",'Р 1. "Общие сведения"'!H154)</f>
        <v/>
      </c>
      <c r="D153" s="17" t="str">
        <f>IF('Р 1. "Общие сведения"'!D154="","",'Р 1. "Общие сведения"'!D154)</f>
        <v/>
      </c>
      <c r="E153" s="17" t="str">
        <f>IF('Р 1. "Общие сведения"'!K154="","",'Р 1. "Общие сведения"'!K154)</f>
        <v/>
      </c>
      <c r="F153" s="18" t="str">
        <f>IF(OR(Таблица26[[#This Row],[Столбец1]]="",Таблица26[[#This Row],[Столбец5]]="",),"",VLOOKUP(A153,Таблица9[#All],2,FALSE))</f>
        <v/>
      </c>
      <c r="G153" s="21" t="str">
        <f>IF(OR(Таблица26[[#This Row],[Столбец1]]="",Таблица26[[#This Row],[Столбец5]]=""),"",VLOOKUP(A153,'Р 5. Финансирование'!$A$9:$D$89,3,FALSE))</f>
        <v/>
      </c>
      <c r="H153" s="21" t="str">
        <f>IF(OR(Таблица26[[#This Row],[Столбец1]]="",Таблица26[[#This Row],[Столбец5]]=""),"",VLOOKUP(A153,'Р 5. Финансирование'!$A$9:$D$89,4,FALSE))</f>
        <v/>
      </c>
      <c r="I153" s="22" t="str">
        <f>IF(OR(Таблица26[[#This Row],[Столбец5]]="отсутствует",Таблица26[[#This Row],[Столбец5]]=""),"",VLOOKUP(A153,'Р 4. Показатели_индикаторы'!$A$9:$J$103,3,FALSE))</f>
        <v/>
      </c>
      <c r="J153" s="22" t="str">
        <f>IF(OR(Таблица26[[#This Row],[Столбец5]]="отсутствует",Таблица26[[#This Row],[Столбец5]]=""),"",VLOOKUP(A153,'Р 4. Показатели_индикаторы'!$A$9:$J$103,4,FALSE))</f>
        <v/>
      </c>
      <c r="K153" s="22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Показатели_индикаторы'!$A$9:$J$103,5,FALSE))</f>
        <v/>
      </c>
      <c r="L153" s="22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Показатели_индикаторы'!$A$9:$J$103,6,FALSE))</f>
        <v/>
      </c>
      <c r="M153" s="22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Показатели_индикаторы'!$A$9:$J$103,7,FALSE))</f>
        <v/>
      </c>
      <c r="N153" s="22" t="str">
        <f>IF(OR(Таблица26[[#This Row],[Столбец1]]="",Таблица26[[#This Row],[Столбец5]]="",Таблица26[[#This Row],[Столбец5]]="отсутствует"),"",VLOOKUP(A153,'Р 4. Показатели_индикаторы'!$A$9:$J$103,8,FALSE))</f>
        <v/>
      </c>
      <c r="O153" s="24" t="str">
        <f>IF(VLOOKUP(A153,'Р 1. "Общие сведения"'!$I$8:$L$180,4,FALSE)="","",VLOOKUP(A153,'Р 1. "Общие сведения"'!$I$8:$L$180,4,FALSE))</f>
        <v/>
      </c>
    </row>
    <row r="154">
      <c r="A154" s="16" t="str">
        <f>IF('Р 1. "Общие сведения"'!I155="","",'Р 1. "Общие сведения"'!I155)</f>
        <v xml:space="preserve"> </v>
      </c>
      <c r="B154" s="17" t="str">
        <f>IF('Р 1. "Общие сведения"'!J155="","",'Р 1. "Общие сведения"'!J155)</f>
        <v/>
      </c>
      <c r="C154" s="17" t="str">
        <f>IF('Р 1. "Общие сведения"'!H155="","",'Р 1. "Общие сведения"'!H155)</f>
        <v/>
      </c>
      <c r="D154" s="17" t="str">
        <f>IF('Р 1. "Общие сведения"'!D155="","",'Р 1. "Общие сведения"'!D155)</f>
        <v/>
      </c>
      <c r="E154" s="17" t="str">
        <f>IF('Р 1. "Общие сведения"'!K155="","",'Р 1. "Общие сведения"'!K155)</f>
        <v/>
      </c>
      <c r="F154" s="18" t="str">
        <f>IF(OR(Таблица26[[#This Row],[Столбец1]]="",Таблица26[[#This Row],[Столбец5]]="",),"",VLOOKUP(A154,Таблица9[#All],2,FALSE))</f>
        <v/>
      </c>
      <c r="G154" s="21" t="str">
        <f>IF(OR(Таблица26[[#This Row],[Столбец1]]="",Таблица26[[#This Row],[Столбец5]]=""),"",VLOOKUP(A154,'Р 5. Финансирование'!$A$9:$D$89,3,FALSE))</f>
        <v/>
      </c>
      <c r="H154" s="21" t="str">
        <f>IF(OR(Таблица26[[#This Row],[Столбец1]]="",Таблица26[[#This Row],[Столбец5]]=""),"",VLOOKUP(A154,'Р 5. Финансирование'!$A$9:$D$89,4,FALSE))</f>
        <v/>
      </c>
      <c r="I154" s="22" t="str">
        <f>IF(OR(Таблица26[[#This Row],[Столбец5]]="отсутствует",Таблица26[[#This Row],[Столбец5]]=""),"",VLOOKUP(A154,'Р 4. Показатели_индикаторы'!$A$9:$J$103,3,FALSE))</f>
        <v/>
      </c>
      <c r="J154" s="22" t="str">
        <f>IF(OR(Таблица26[[#This Row],[Столбец5]]="отсутствует",Таблица26[[#This Row],[Столбец5]]=""),"",VLOOKUP(A154,'Р 4. Показатели_индикаторы'!$A$9:$J$103,4,FALSE))</f>
        <v/>
      </c>
      <c r="K154" s="22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Показатели_индикаторы'!$A$9:$J$103,5,FALSE))</f>
        <v/>
      </c>
      <c r="L154" s="22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Показатели_индикаторы'!$A$9:$J$103,6,FALSE))</f>
        <v/>
      </c>
      <c r="M154" s="22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Показатели_индикаторы'!$A$9:$J$103,7,FALSE))</f>
        <v/>
      </c>
      <c r="N154" s="22" t="str">
        <f>IF(OR(Таблица26[[#This Row],[Столбец1]]="",Таблица26[[#This Row],[Столбец5]]="",Таблица26[[#This Row],[Столбец5]]="отсутствует"),"",VLOOKUP(A154,'Р 4. Показатели_индикаторы'!$A$9:$J$103,8,FALSE))</f>
        <v/>
      </c>
      <c r="O154" s="24" t="str">
        <f>IF(VLOOKUP(A154,'Р 1. "Общие сведения"'!$I$8:$L$180,4,FALSE)="","",VLOOKUP(A154,'Р 1. "Общие сведения"'!$I$8:$L$180,4,FALSE))</f>
        <v/>
      </c>
    </row>
    <row r="155">
      <c r="A155" s="16" t="str">
        <f>IF('Р 1. "Общие сведения"'!I156="","",'Р 1. "Общие сведения"'!I156)</f>
        <v xml:space="preserve"> </v>
      </c>
      <c r="B155" s="17" t="str">
        <f>IF('Р 1. "Общие сведения"'!J156="","",'Р 1. "Общие сведения"'!J156)</f>
        <v/>
      </c>
      <c r="C155" s="17" t="str">
        <f>IF('Р 1. "Общие сведения"'!H156="","",'Р 1. "Общие сведения"'!H156)</f>
        <v/>
      </c>
      <c r="D155" s="17" t="str">
        <f>IF('Р 1. "Общие сведения"'!D156="","",'Р 1. "Общие сведения"'!D156)</f>
        <v/>
      </c>
      <c r="E155" s="17" t="str">
        <f>IF('Р 1. "Общие сведения"'!K156="","",'Р 1. "Общие сведения"'!K156)</f>
        <v/>
      </c>
      <c r="F155" s="18" t="str">
        <f>IF(OR(Таблица26[[#This Row],[Столбец1]]="",Таблица26[[#This Row],[Столбец5]]="",),"",VLOOKUP(A155,Таблица9[#All],2,FALSE))</f>
        <v/>
      </c>
      <c r="G155" s="21" t="str">
        <f>IF(OR(Таблица26[[#This Row],[Столбец1]]="",Таблица26[[#This Row],[Столбец5]]=""),"",VLOOKUP(A155,'Р 5. Финансирование'!$A$9:$D$89,3,FALSE))</f>
        <v/>
      </c>
      <c r="H155" s="21" t="str">
        <f>IF(OR(Таблица26[[#This Row],[Столбец1]]="",Таблица26[[#This Row],[Столбец5]]=""),"",VLOOKUP(A155,'Р 5. Финансирование'!$A$9:$D$89,4,FALSE))</f>
        <v/>
      </c>
      <c r="I155" s="22" t="str">
        <f>IF(OR(Таблица26[[#This Row],[Столбец5]]="отсутствует",Таблица26[[#This Row],[Столбец5]]=""),"",VLOOKUP(A155,'Р 4. Показатели_индикаторы'!$A$9:$J$103,3,FALSE))</f>
        <v/>
      </c>
      <c r="J155" s="22" t="str">
        <f>IF(OR(Таблица26[[#This Row],[Столбец5]]="отсутствует",Таблица26[[#This Row],[Столбец5]]=""),"",VLOOKUP(A155,'Р 4. Показатели_индикаторы'!$A$9:$J$103,4,FALSE))</f>
        <v/>
      </c>
      <c r="K155" s="22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Показатели_индикаторы'!$A$9:$J$103,5,FALSE))</f>
        <v/>
      </c>
      <c r="L155" s="22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Показатели_индикаторы'!$A$9:$J$103,6,FALSE))</f>
        <v/>
      </c>
      <c r="M155" s="22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Показатели_индикаторы'!$A$9:$J$103,7,FALSE))</f>
        <v/>
      </c>
      <c r="N155" s="22" t="str">
        <f>IF(OR(Таблица26[[#This Row],[Столбец1]]="",Таблица26[[#This Row],[Столбец5]]="",Таблица26[[#This Row],[Столбец5]]="отсутствует"),"",VLOOKUP(A155,'Р 4. Показатели_индикаторы'!$A$9:$J$103,8,FALSE))</f>
        <v/>
      </c>
      <c r="O155" s="24" t="str">
        <f>IF(VLOOKUP(A155,'Р 1. "Общие сведения"'!$I$8:$L$180,4,FALSE)="","",VLOOKUP(A155,'Р 1. "Общие сведения"'!$I$8:$L$180,4,FALSE))</f>
        <v/>
      </c>
    </row>
    <row r="156">
      <c r="A156" s="16" t="str">
        <f>IF('Р 1. "Общие сведения"'!I157="","",'Р 1. "Общие сведения"'!I157)</f>
        <v xml:space="preserve"> </v>
      </c>
      <c r="B156" s="17" t="str">
        <f>IF('Р 1. "Общие сведения"'!J157="","",'Р 1. "Общие сведения"'!J157)</f>
        <v/>
      </c>
      <c r="C156" s="17" t="str">
        <f>IF('Р 1. "Общие сведения"'!H157="","",'Р 1. "Общие сведения"'!H157)</f>
        <v/>
      </c>
      <c r="D156" s="17" t="str">
        <f>IF('Р 1. "Общие сведения"'!D157="","",'Р 1. "Общие сведения"'!D157)</f>
        <v/>
      </c>
      <c r="E156" s="17" t="str">
        <f>IF('Р 1. "Общие сведения"'!K157="","",'Р 1. "Общие сведения"'!K157)</f>
        <v/>
      </c>
      <c r="F156" s="18" t="str">
        <f>IF(OR(Таблица26[[#This Row],[Столбец1]]="",Таблица26[[#This Row],[Столбец5]]="",),"",VLOOKUP(A156,Таблица9[#All],2,FALSE))</f>
        <v/>
      </c>
      <c r="G156" s="21" t="str">
        <f>IF(OR(Таблица26[[#This Row],[Столбец1]]="",Таблица26[[#This Row],[Столбец5]]=""),"",VLOOKUP(A156,'Р 5. Финансирование'!$A$9:$D$89,3,FALSE))</f>
        <v/>
      </c>
      <c r="H156" s="21" t="str">
        <f>IF(OR(Таблица26[[#This Row],[Столбец1]]="",Таблица26[[#This Row],[Столбец5]]=""),"",VLOOKUP(A156,'Р 5. Финансирование'!$A$9:$D$89,4,FALSE))</f>
        <v/>
      </c>
      <c r="I156" s="22" t="str">
        <f>IF(OR(Таблица26[[#This Row],[Столбец5]]="отсутствует",Таблица26[[#This Row],[Столбец5]]=""),"",VLOOKUP(A156,'Р 4. Показатели_индикаторы'!$A$9:$J$103,3,FALSE))</f>
        <v/>
      </c>
      <c r="J156" s="22" t="str">
        <f>IF(OR(Таблица26[[#This Row],[Столбец5]]="отсутствует",Таблица26[[#This Row],[Столбец5]]=""),"",VLOOKUP(A156,'Р 4. Показатели_индикаторы'!$A$9:$J$103,4,FALSE))</f>
        <v/>
      </c>
      <c r="K156" s="22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Показатели_индикаторы'!$A$9:$J$103,5,FALSE))</f>
        <v/>
      </c>
      <c r="L156" s="22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Показатели_индикаторы'!$A$9:$J$103,6,FALSE))</f>
        <v/>
      </c>
      <c r="M156" s="22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Показатели_индикаторы'!$A$9:$J$103,7,FALSE))</f>
        <v/>
      </c>
      <c r="N156" s="22" t="str">
        <f>IF(OR(Таблица26[[#This Row],[Столбец1]]="",Таблица26[[#This Row],[Столбец5]]="",Таблица26[[#This Row],[Столбец5]]="отсутствует"),"",VLOOKUP(A156,'Р 4. Показатели_индикаторы'!$A$9:$J$103,8,FALSE))</f>
        <v/>
      </c>
      <c r="O156" s="24" t="str">
        <f>IF(VLOOKUP(A156,'Р 1. "Общие сведения"'!$I$8:$L$180,4,FALSE)="","",VLOOKUP(A156,'Р 1. "Общие сведения"'!$I$8:$L$180,4,FALSE))</f>
        <v/>
      </c>
    </row>
    <row r="157">
      <c r="A157" s="16" t="str">
        <f>IF('Р 1. "Общие сведения"'!I158="","",'Р 1. "Общие сведения"'!I158)</f>
        <v xml:space="preserve"> </v>
      </c>
      <c r="B157" s="17" t="str">
        <f>IF('Р 1. "Общие сведения"'!J158="","",'Р 1. "Общие сведения"'!J158)</f>
        <v/>
      </c>
      <c r="C157" s="17" t="str">
        <f>IF('Р 1. "Общие сведения"'!H158="","",'Р 1. "Общие сведения"'!H158)</f>
        <v/>
      </c>
      <c r="D157" s="17" t="str">
        <f>IF('Р 1. "Общие сведения"'!D158="","",'Р 1. "Общие сведения"'!D158)</f>
        <v/>
      </c>
      <c r="E157" s="17" t="str">
        <f>IF('Р 1. "Общие сведения"'!K158="","",'Р 1. "Общие сведения"'!K158)</f>
        <v/>
      </c>
      <c r="F157" s="18" t="str">
        <f>IF(OR(Таблица26[[#This Row],[Столбец1]]="",Таблица26[[#This Row],[Столбец5]]="",),"",VLOOKUP(A157,Таблица9[#All],2,FALSE))</f>
        <v/>
      </c>
      <c r="G157" s="21" t="str">
        <f>IF(OR(Таблица26[[#This Row],[Столбец1]]="",Таблица26[[#This Row],[Столбец5]]=""),"",VLOOKUP(A157,'Р 5. Финансирование'!$A$9:$D$89,3,FALSE))</f>
        <v/>
      </c>
      <c r="H157" s="21" t="str">
        <f>IF(OR(Таблица26[[#This Row],[Столбец1]]="",Таблица26[[#This Row],[Столбец5]]=""),"",VLOOKUP(A157,'Р 5. Финансирование'!$A$9:$D$89,4,FALSE))</f>
        <v/>
      </c>
      <c r="I157" s="22" t="str">
        <f>IF(OR(Таблица26[[#This Row],[Столбец5]]="отсутствует",Таблица26[[#This Row],[Столбец5]]=""),"",VLOOKUP(A157,'Р 4. Показатели_индикаторы'!$A$9:$J$103,3,FALSE))</f>
        <v/>
      </c>
      <c r="J157" s="22" t="str">
        <f>IF(OR(Таблица26[[#This Row],[Столбец5]]="отсутствует",Таблица26[[#This Row],[Столбец5]]=""),"",VLOOKUP(A157,'Р 4. Показатели_индикаторы'!$A$9:$J$103,4,FALSE))</f>
        <v/>
      </c>
      <c r="K157" s="22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Показатели_индикаторы'!$A$9:$J$103,5,FALSE))</f>
        <v/>
      </c>
      <c r="L157" s="22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Показатели_индикаторы'!$A$9:$J$103,6,FALSE))</f>
        <v/>
      </c>
      <c r="M157" s="22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Показатели_индикаторы'!$A$9:$J$103,7,FALSE))</f>
        <v/>
      </c>
      <c r="N157" s="22" t="str">
        <f>IF(OR(Таблица26[[#This Row],[Столбец1]]="",Таблица26[[#This Row],[Столбец5]]="",Таблица26[[#This Row],[Столбец5]]="отсутствует"),"",VLOOKUP(A157,'Р 4. Показатели_индикаторы'!$A$9:$J$103,8,FALSE))</f>
        <v/>
      </c>
      <c r="O157" s="24" t="str">
        <f>IF(VLOOKUP(A157,'Р 1. "Общие сведения"'!$I$8:$L$180,4,FALSE)="","",VLOOKUP(A157,'Р 1. "Общие сведения"'!$I$8:$L$180,4,FALSE))</f>
        <v/>
      </c>
    </row>
    <row r="158">
      <c r="A158" s="16" t="str">
        <f>IF('Р 1. "Общие сведения"'!I159="","",'Р 1. "Общие сведения"'!I159)</f>
        <v xml:space="preserve"> </v>
      </c>
      <c r="B158" s="17" t="str">
        <f>IF('Р 1. "Общие сведения"'!J159="","",'Р 1. "Общие сведения"'!J159)</f>
        <v/>
      </c>
      <c r="C158" s="17" t="str">
        <f>IF('Р 1. "Общие сведения"'!H159="","",'Р 1. "Общие сведения"'!H159)</f>
        <v/>
      </c>
      <c r="D158" s="17" t="str">
        <f>IF('Р 1. "Общие сведения"'!D159="","",'Р 1. "Общие сведения"'!D159)</f>
        <v/>
      </c>
      <c r="E158" s="17" t="str">
        <f>IF('Р 1. "Общие сведения"'!K159="","",'Р 1. "Общие сведения"'!K159)</f>
        <v/>
      </c>
      <c r="F158" s="18" t="str">
        <f>IF(OR(Таблица26[[#This Row],[Столбец1]]="",Таблица26[[#This Row],[Столбец5]]="",),"",VLOOKUP(A158,Таблица9[#All],2,FALSE))</f>
        <v/>
      </c>
      <c r="G158" s="21" t="str">
        <f>IF(OR(Таблица26[[#This Row],[Столбец1]]="",Таблица26[[#This Row],[Столбец5]]=""),"",VLOOKUP(A158,'Р 5. Финансирование'!$A$9:$D$89,3,FALSE))</f>
        <v/>
      </c>
      <c r="H158" s="21" t="str">
        <f>IF(OR(Таблица26[[#This Row],[Столбец1]]="",Таблица26[[#This Row],[Столбец5]]=""),"",VLOOKUP(A158,'Р 5. Финансирование'!$A$9:$D$89,4,FALSE))</f>
        <v/>
      </c>
      <c r="I158" s="22" t="str">
        <f>IF(OR(Таблица26[[#This Row],[Столбец5]]="отсутствует",Таблица26[[#This Row],[Столбец5]]=""),"",VLOOKUP(A158,'Р 4. Показатели_индикаторы'!$A$9:$J$103,3,FALSE))</f>
        <v/>
      </c>
      <c r="J158" s="22" t="str">
        <f>IF(OR(Таблица26[[#This Row],[Столбец5]]="отсутствует",Таблица26[[#This Row],[Столбец5]]=""),"",VLOOKUP(A158,'Р 4. Показатели_индикаторы'!$A$9:$J$103,4,FALSE))</f>
        <v/>
      </c>
      <c r="K158" s="22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Показатели_индикаторы'!$A$9:$J$103,5,FALSE))</f>
        <v/>
      </c>
      <c r="L158" s="22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Показатели_индикаторы'!$A$9:$J$103,6,FALSE))</f>
        <v/>
      </c>
      <c r="M158" s="22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Показатели_индикаторы'!$A$9:$J$103,7,FALSE))</f>
        <v/>
      </c>
      <c r="N158" s="22" t="str">
        <f>IF(OR(Таблица26[[#This Row],[Столбец1]]="",Таблица26[[#This Row],[Столбец5]]="",Таблица26[[#This Row],[Столбец5]]="отсутствует"),"",VLOOKUP(A158,'Р 4. Показатели_индикаторы'!$A$9:$J$103,8,FALSE))</f>
        <v/>
      </c>
      <c r="O158" s="24" t="str">
        <f>IF(VLOOKUP(A158,'Р 1. "Общие сведения"'!$I$8:$L$180,4,FALSE)="","",VLOOKUP(A158,'Р 1. "Общие сведения"'!$I$8:$L$180,4,FALSE))</f>
        <v/>
      </c>
    </row>
    <row r="159">
      <c r="A159" s="16" t="str">
        <f>IF('Р 1. "Общие сведения"'!I160="","",'Р 1. "Общие сведения"'!I160)</f>
        <v xml:space="preserve"> </v>
      </c>
      <c r="B159" s="17" t="str">
        <f>IF('Р 1. "Общие сведения"'!J160="","",'Р 1. "Общие сведения"'!J160)</f>
        <v/>
      </c>
      <c r="C159" s="17" t="str">
        <f>IF('Р 1. "Общие сведения"'!H160="","",'Р 1. "Общие сведения"'!H160)</f>
        <v/>
      </c>
      <c r="D159" s="17" t="str">
        <f>IF('Р 1. "Общие сведения"'!D160="","",'Р 1. "Общие сведения"'!D160)</f>
        <v/>
      </c>
      <c r="E159" s="17" t="str">
        <f>IF('Р 1. "Общие сведения"'!K160="","",'Р 1. "Общие сведения"'!K160)</f>
        <v/>
      </c>
      <c r="F159" s="18" t="str">
        <f>IF(OR(Таблица26[[#This Row],[Столбец1]]="",Таблица26[[#This Row],[Столбец5]]="",),"",VLOOKUP(A159,Таблица9[#All],2,FALSE))</f>
        <v/>
      </c>
      <c r="G159" s="21" t="str">
        <f>IF(OR(Таблица26[[#This Row],[Столбец1]]="",Таблица26[[#This Row],[Столбец5]]=""),"",VLOOKUP(A159,'Р 5. Финансирование'!$A$9:$D$89,3,FALSE))</f>
        <v/>
      </c>
      <c r="H159" s="21" t="str">
        <f>IF(OR(Таблица26[[#This Row],[Столбец1]]="",Таблица26[[#This Row],[Столбец5]]=""),"",VLOOKUP(A159,'Р 5. Финансирование'!$A$9:$D$89,4,FALSE))</f>
        <v/>
      </c>
      <c r="I159" s="22" t="str">
        <f>IF(OR(Таблица26[[#This Row],[Столбец5]]="отсутствует",Таблица26[[#This Row],[Столбец5]]=""),"",VLOOKUP(A159,'Р 4. Показатели_индикаторы'!$A$9:$J$103,3,FALSE))</f>
        <v/>
      </c>
      <c r="J159" s="22" t="str">
        <f>IF(OR(Таблица26[[#This Row],[Столбец5]]="отсутствует",Таблица26[[#This Row],[Столбец5]]=""),"",VLOOKUP(A159,'Р 4. Показатели_индикаторы'!$A$9:$J$103,4,FALSE))</f>
        <v/>
      </c>
      <c r="K159" s="22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Показатели_индикаторы'!$A$9:$J$103,5,FALSE))</f>
        <v/>
      </c>
      <c r="L159" s="22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Показатели_индикаторы'!$A$9:$J$103,6,FALSE))</f>
        <v/>
      </c>
      <c r="M159" s="22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Показатели_индикаторы'!$A$9:$J$103,7,FALSE))</f>
        <v/>
      </c>
      <c r="N159" s="22" t="str">
        <f>IF(OR(Таблица26[[#This Row],[Столбец1]]="",Таблица26[[#This Row],[Столбец5]]="",Таблица26[[#This Row],[Столбец5]]="отсутствует"),"",VLOOKUP(A159,'Р 4. Показатели_индикаторы'!$A$9:$J$103,8,FALSE))</f>
        <v/>
      </c>
      <c r="O159" s="24" t="str">
        <f>IF(VLOOKUP(A159,'Р 1. "Общие сведения"'!$I$8:$L$180,4,FALSE)="","",VLOOKUP(A159,'Р 1. "Общие сведения"'!$I$8:$L$180,4,FALSE))</f>
        <v/>
      </c>
    </row>
    <row r="160">
      <c r="A160" s="16" t="str">
        <f>IF('Р 1. "Общие сведения"'!I161="","",'Р 1. "Общие сведения"'!I161)</f>
        <v xml:space="preserve"> </v>
      </c>
      <c r="B160" s="17" t="str">
        <f>IF('Р 1. "Общие сведения"'!J161="","",'Р 1. "Общие сведения"'!J161)</f>
        <v/>
      </c>
      <c r="C160" s="17" t="str">
        <f>IF('Р 1. "Общие сведения"'!H161="","",'Р 1. "Общие сведения"'!H161)</f>
        <v/>
      </c>
      <c r="D160" s="17" t="str">
        <f>IF('Р 1. "Общие сведения"'!D161="","",'Р 1. "Общие сведения"'!D161)</f>
        <v/>
      </c>
      <c r="E160" s="17" t="str">
        <f>IF('Р 1. "Общие сведения"'!K161="","",'Р 1. "Общие сведения"'!K161)</f>
        <v/>
      </c>
      <c r="F160" s="18" t="str">
        <f>IF(OR(Таблица26[[#This Row],[Столбец1]]="",Таблица26[[#This Row],[Столбец5]]="",),"",VLOOKUP(A160,Таблица9[#All],2,FALSE))</f>
        <v/>
      </c>
      <c r="G160" s="21" t="str">
        <f>IF(OR(Таблица26[[#This Row],[Столбец1]]="",Таблица26[[#This Row],[Столбец5]]=""),"",VLOOKUP(A160,'Р 5. Финансирование'!$A$9:$D$89,3,FALSE))</f>
        <v/>
      </c>
      <c r="H160" s="21" t="str">
        <f>IF(OR(Таблица26[[#This Row],[Столбец1]]="",Таблица26[[#This Row],[Столбец5]]=""),"",VLOOKUP(A160,'Р 5. Финансирование'!$A$9:$D$89,4,FALSE))</f>
        <v/>
      </c>
      <c r="I160" s="22" t="str">
        <f>IF(OR(Таблица26[[#This Row],[Столбец5]]="отсутствует",Таблица26[[#This Row],[Столбец5]]=""),"",VLOOKUP(A160,'Р 4. Показатели_индикаторы'!$A$9:$J$103,3,FALSE))</f>
        <v/>
      </c>
      <c r="J160" s="22" t="str">
        <f>IF(OR(Таблица26[[#This Row],[Столбец5]]="отсутствует",Таблица26[[#This Row],[Столбец5]]=""),"",VLOOKUP(A160,'Р 4. Показатели_индикаторы'!$A$9:$J$103,4,FALSE))</f>
        <v/>
      </c>
      <c r="K160" s="22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Показатели_индикаторы'!$A$9:$J$103,5,FALSE))</f>
        <v/>
      </c>
      <c r="L160" s="22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Показатели_индикаторы'!$A$9:$J$103,6,FALSE))</f>
        <v/>
      </c>
      <c r="M160" s="22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Показатели_индикаторы'!$A$9:$J$103,7,FALSE))</f>
        <v/>
      </c>
      <c r="N160" s="22" t="str">
        <f>IF(OR(Таблица26[[#This Row],[Столбец1]]="",Таблица26[[#This Row],[Столбец5]]="",Таблица26[[#This Row],[Столбец5]]="отсутствует"),"",VLOOKUP(A160,'Р 4. Показатели_индикаторы'!$A$9:$J$103,8,FALSE))</f>
        <v/>
      </c>
      <c r="O160" s="24" t="str">
        <f>IF(VLOOKUP(A160,'Р 1. "Общие сведения"'!$I$8:$L$180,4,FALSE)="","",VLOOKUP(A160,'Р 1. "Общие сведения"'!$I$8:$L$180,4,FALSE))</f>
        <v/>
      </c>
    </row>
    <row r="161">
      <c r="A161" s="16" t="str">
        <f>IF('Р 1. "Общие сведения"'!I162="","",'Р 1. "Общие сведения"'!I162)</f>
        <v xml:space="preserve"> </v>
      </c>
      <c r="B161" s="17" t="str">
        <f>IF('Р 1. "Общие сведения"'!J162="","",'Р 1. "Общие сведения"'!J162)</f>
        <v/>
      </c>
      <c r="C161" s="17" t="str">
        <f>IF('Р 1. "Общие сведения"'!H162="","",'Р 1. "Общие сведения"'!H162)</f>
        <v/>
      </c>
      <c r="D161" s="17" t="str">
        <f>IF('Р 1. "Общие сведения"'!D162="","",'Р 1. "Общие сведения"'!D162)</f>
        <v/>
      </c>
      <c r="E161" s="17" t="str">
        <f>IF('Р 1. "Общие сведения"'!K162="","",'Р 1. "Общие сведения"'!K162)</f>
        <v/>
      </c>
      <c r="F161" s="18" t="str">
        <f>IF(OR(Таблица26[[#This Row],[Столбец1]]="",Таблица26[[#This Row],[Столбец5]]="",),"",VLOOKUP(A161,Таблица9[#All],2,FALSE))</f>
        <v/>
      </c>
      <c r="G161" s="21" t="str">
        <f>IF(OR(Таблица26[[#This Row],[Столбец1]]="",Таблица26[[#This Row],[Столбец5]]=""),"",VLOOKUP(A161,'Р 5. Финансирование'!$A$9:$D$89,3,FALSE))</f>
        <v/>
      </c>
      <c r="H161" s="21" t="str">
        <f>IF(OR(Таблица26[[#This Row],[Столбец1]]="",Таблица26[[#This Row],[Столбец5]]=""),"",VLOOKUP(A161,'Р 5. Финансирование'!$A$9:$D$89,4,FALSE))</f>
        <v/>
      </c>
      <c r="I161" s="22" t="str">
        <f>IF(OR(Таблица26[[#This Row],[Столбец5]]="отсутствует",Таблица26[[#This Row],[Столбец5]]=""),"",VLOOKUP(A161,'Р 4. Показатели_индикаторы'!$A$9:$J$103,3,FALSE))</f>
        <v/>
      </c>
      <c r="J161" s="22" t="str">
        <f>IF(OR(Таблица26[[#This Row],[Столбец5]]="отсутствует",Таблица26[[#This Row],[Столбец5]]=""),"",VLOOKUP(A161,'Р 4. Показатели_индикаторы'!$A$9:$J$103,4,FALSE))</f>
        <v/>
      </c>
      <c r="K161" s="22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Показатели_индикаторы'!$A$9:$J$103,5,FALSE))</f>
        <v/>
      </c>
      <c r="L161" s="22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Показатели_индикаторы'!$A$9:$J$103,6,FALSE))</f>
        <v/>
      </c>
      <c r="M161" s="22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Показатели_индикаторы'!$A$9:$J$103,7,FALSE))</f>
        <v/>
      </c>
      <c r="N161" s="22" t="str">
        <f>IF(OR(Таблица26[[#This Row],[Столбец1]]="",Таблица26[[#This Row],[Столбец5]]="",Таблица26[[#This Row],[Столбец5]]="отсутствует"),"",VLOOKUP(A161,'Р 4. Показатели_индикаторы'!$A$9:$J$103,8,FALSE))</f>
        <v/>
      </c>
      <c r="O161" s="24" t="str">
        <f>IF(VLOOKUP(A161,'Р 1. "Общие сведения"'!$I$8:$L$180,4,FALSE)="","",VLOOKUP(A161,'Р 1. "Общие сведения"'!$I$8:$L$180,4,FALSE))</f>
        <v/>
      </c>
    </row>
    <row r="162">
      <c r="A162" s="16" t="str">
        <f>IF('Р 1. "Общие сведения"'!I163="","",'Р 1. "Общие сведения"'!I163)</f>
        <v xml:space="preserve"> </v>
      </c>
      <c r="B162" s="17" t="str">
        <f>IF('Р 1. "Общие сведения"'!J163="","",'Р 1. "Общие сведения"'!J163)</f>
        <v/>
      </c>
      <c r="C162" s="17" t="str">
        <f>IF('Р 1. "Общие сведения"'!H163="","",'Р 1. "Общие сведения"'!H163)</f>
        <v/>
      </c>
      <c r="D162" s="17" t="str">
        <f>IF('Р 1. "Общие сведения"'!D163="","",'Р 1. "Общие сведения"'!D163)</f>
        <v/>
      </c>
      <c r="E162" s="17" t="str">
        <f>IF('Р 1. "Общие сведения"'!K163="","",'Р 1. "Общие сведения"'!K163)</f>
        <v/>
      </c>
      <c r="F162" s="18" t="str">
        <f>IF(OR(Таблица26[[#This Row],[Столбец1]]="",Таблица26[[#This Row],[Столбец5]]="",),"",VLOOKUP(A162,Таблица9[#All],2,FALSE))</f>
        <v/>
      </c>
      <c r="G162" s="21" t="str">
        <f>IF(OR(Таблица26[[#This Row],[Столбец1]]="",Таблица26[[#This Row],[Столбец5]]=""),"",VLOOKUP(A162,'Р 5. Финансирование'!$A$9:$D$89,3,FALSE))</f>
        <v/>
      </c>
      <c r="H162" s="21" t="str">
        <f>IF(OR(Таблица26[[#This Row],[Столбец1]]="",Таблица26[[#This Row],[Столбец5]]=""),"",VLOOKUP(A162,'Р 5. Финансирование'!$A$9:$D$89,4,FALSE))</f>
        <v/>
      </c>
      <c r="I162" s="22" t="str">
        <f>IF(OR(Таблица26[[#This Row],[Столбец5]]="отсутствует",Таблица26[[#This Row],[Столбец5]]=""),"",VLOOKUP(A162,'Р 4. Показатели_индикаторы'!$A$9:$J$103,3,FALSE))</f>
        <v/>
      </c>
      <c r="J162" s="22" t="str">
        <f>IF(OR(Таблица26[[#This Row],[Столбец5]]="отсутствует",Таблица26[[#This Row],[Столбец5]]=""),"",VLOOKUP(A162,'Р 4. Показатели_индикаторы'!$A$9:$J$103,4,FALSE))</f>
        <v/>
      </c>
      <c r="K162" s="22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Показатели_индикаторы'!$A$9:$J$103,5,FALSE))</f>
        <v/>
      </c>
      <c r="L162" s="22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Показатели_индикаторы'!$A$9:$J$103,6,FALSE))</f>
        <v/>
      </c>
      <c r="M162" s="22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Показатели_индикаторы'!$A$9:$J$103,7,FALSE))</f>
        <v/>
      </c>
      <c r="N162" s="22" t="str">
        <f>IF(OR(Таблица26[[#This Row],[Столбец1]]="",Таблица26[[#This Row],[Столбец5]]="",Таблица26[[#This Row],[Столбец5]]="отсутствует"),"",VLOOKUP(A162,'Р 4. Показатели_индикаторы'!$A$9:$J$103,8,FALSE))</f>
        <v/>
      </c>
      <c r="O162" s="24" t="str">
        <f>IF(VLOOKUP(A162,'Р 1. "Общие сведения"'!$I$8:$L$180,4,FALSE)="","",VLOOKUP(A162,'Р 1. "Общие сведения"'!$I$8:$L$180,4,FALSE))</f>
        <v/>
      </c>
    </row>
    <row r="163">
      <c r="A163" s="16" t="str">
        <f>IF('Р 1. "Общие сведения"'!I164="","",'Р 1. "Общие сведения"'!I164)</f>
        <v xml:space="preserve"> </v>
      </c>
      <c r="B163" s="17" t="str">
        <f>IF('Р 1. "Общие сведения"'!J164="","",'Р 1. "Общие сведения"'!J164)</f>
        <v/>
      </c>
      <c r="C163" s="17" t="str">
        <f>IF('Р 1. "Общие сведения"'!H164="","",'Р 1. "Общие сведения"'!H164)</f>
        <v/>
      </c>
      <c r="D163" s="17" t="str">
        <f>IF('Р 1. "Общие сведения"'!D164="","",'Р 1. "Общие сведения"'!D164)</f>
        <v/>
      </c>
      <c r="E163" s="17" t="str">
        <f>IF('Р 1. "Общие сведения"'!K164="","",'Р 1. "Общие сведения"'!K164)</f>
        <v/>
      </c>
      <c r="F163" s="18" t="str">
        <f>IF(OR(Таблица26[[#This Row],[Столбец1]]="",Таблица26[[#This Row],[Столбец5]]="",),"",VLOOKUP(A163,Таблица9[#All],2,FALSE))</f>
        <v/>
      </c>
      <c r="G163" s="21" t="str">
        <f>IF(OR(Таблица26[[#This Row],[Столбец1]]="",Таблица26[[#This Row],[Столбец5]]=""),"",VLOOKUP(A163,'Р 5. Финансирование'!$A$9:$D$89,3,FALSE))</f>
        <v/>
      </c>
      <c r="H163" s="21" t="str">
        <f>IF(OR(Таблица26[[#This Row],[Столбец1]]="",Таблица26[[#This Row],[Столбец5]]=""),"",VLOOKUP(A163,'Р 5. Финансирование'!$A$9:$D$89,4,FALSE))</f>
        <v/>
      </c>
      <c r="I163" s="22" t="str">
        <f>IF(OR(Таблица26[[#This Row],[Столбец5]]="отсутствует",Таблица26[[#This Row],[Столбец5]]=""),"",VLOOKUP(A163,'Р 4. Показатели_индикаторы'!$A$9:$J$103,3,FALSE))</f>
        <v/>
      </c>
      <c r="J163" s="22" t="str">
        <f>IF(OR(Таблица26[[#This Row],[Столбец5]]="отсутствует",Таблица26[[#This Row],[Столбец5]]=""),"",VLOOKUP(A163,'Р 4. Показатели_индикаторы'!$A$9:$J$103,4,FALSE))</f>
        <v/>
      </c>
      <c r="K163" s="22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Показатели_индикаторы'!$A$9:$J$103,5,FALSE))</f>
        <v/>
      </c>
      <c r="L163" s="22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Показатели_индикаторы'!$A$9:$J$103,6,FALSE))</f>
        <v/>
      </c>
      <c r="M163" s="22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Показатели_индикаторы'!$A$9:$J$103,7,FALSE))</f>
        <v/>
      </c>
      <c r="N163" s="22" t="str">
        <f>IF(OR(Таблица26[[#This Row],[Столбец1]]="",Таблица26[[#This Row],[Столбец5]]="",Таблица26[[#This Row],[Столбец5]]="отсутствует"),"",VLOOKUP(A163,'Р 4. Показатели_индикаторы'!$A$9:$J$103,8,FALSE))</f>
        <v/>
      </c>
      <c r="O163" s="24" t="str">
        <f>IF(VLOOKUP(A163,'Р 1. "Общие сведения"'!$I$8:$L$180,4,FALSE)="","",VLOOKUP(A163,'Р 1. "Общие сведения"'!$I$8:$L$180,4,FALSE))</f>
        <v/>
      </c>
    </row>
    <row r="164">
      <c r="A164" s="16" t="str">
        <f>IF('Р 1. "Общие сведения"'!I165="","",'Р 1. "Общие сведения"'!I165)</f>
        <v xml:space="preserve"> </v>
      </c>
      <c r="B164" s="17" t="str">
        <f>IF('Р 1. "Общие сведения"'!J165="","",'Р 1. "Общие сведения"'!J165)</f>
        <v/>
      </c>
      <c r="C164" s="17" t="str">
        <f>IF('Р 1. "Общие сведения"'!H165="","",'Р 1. "Общие сведения"'!H165)</f>
        <v/>
      </c>
      <c r="D164" s="17" t="str">
        <f>IF('Р 1. "Общие сведения"'!D165="","",'Р 1. "Общие сведения"'!D165)</f>
        <v/>
      </c>
      <c r="E164" s="17" t="str">
        <f>IF('Р 1. "Общие сведения"'!K165="","",'Р 1. "Общие сведения"'!K165)</f>
        <v/>
      </c>
      <c r="F164" s="18" t="str">
        <f>IF(OR(Таблица26[[#This Row],[Столбец1]]="",Таблица26[[#This Row],[Столбец5]]="",),"",VLOOKUP(A164,Таблица9[#All],2,FALSE))</f>
        <v/>
      </c>
      <c r="G164" s="21" t="str">
        <f>IF(OR(Таблица26[[#This Row],[Столбец1]]="",Таблица26[[#This Row],[Столбец5]]=""),"",VLOOKUP(A164,'Р 5. Финансирование'!$A$9:$D$89,3,FALSE))</f>
        <v/>
      </c>
      <c r="H164" s="21" t="str">
        <f>IF(OR(Таблица26[[#This Row],[Столбец1]]="",Таблица26[[#This Row],[Столбец5]]=""),"",VLOOKUP(A164,'Р 5. Финансирование'!$A$9:$D$89,4,FALSE))</f>
        <v/>
      </c>
      <c r="I164" s="22" t="str">
        <f>IF(OR(Таблица26[[#This Row],[Столбец5]]="отсутствует",Таблица26[[#This Row],[Столбец5]]=""),"",VLOOKUP(A164,'Р 4. Показатели_индикаторы'!$A$9:$J$103,3,FALSE))</f>
        <v/>
      </c>
      <c r="J164" s="22" t="str">
        <f>IF(OR(Таблица26[[#This Row],[Столбец5]]="отсутствует",Таблица26[[#This Row],[Столбец5]]=""),"",VLOOKUP(A164,'Р 4. Показатели_индикаторы'!$A$9:$J$103,4,FALSE))</f>
        <v/>
      </c>
      <c r="K164" s="22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Показатели_индикаторы'!$A$9:$J$103,5,FALSE))</f>
        <v/>
      </c>
      <c r="L164" s="22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Показатели_индикаторы'!$A$9:$J$103,6,FALSE))</f>
        <v/>
      </c>
      <c r="M164" s="22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Показатели_индикаторы'!$A$9:$J$103,7,FALSE))</f>
        <v/>
      </c>
      <c r="N164" s="22" t="str">
        <f>IF(OR(Таблица26[[#This Row],[Столбец1]]="",Таблица26[[#This Row],[Столбец5]]="",Таблица26[[#This Row],[Столбец5]]="отсутствует"),"",VLOOKUP(A164,'Р 4. Показатели_индикаторы'!$A$9:$J$103,8,FALSE))</f>
        <v/>
      </c>
      <c r="O164" s="24" t="str">
        <f>IF(VLOOKUP(A164,'Р 1. "Общие сведения"'!$I$8:$L$180,4,FALSE)="","",VLOOKUP(A164,'Р 1. "Общие сведения"'!$I$8:$L$180,4,FALSE))</f>
        <v/>
      </c>
    </row>
    <row r="165">
      <c r="A165" s="16" t="str">
        <f>IF('Р 1. "Общие сведения"'!I166="","",'Р 1. "Общие сведения"'!I166)</f>
        <v xml:space="preserve"> </v>
      </c>
      <c r="B165" s="17" t="str">
        <f>IF('Р 1. "Общие сведения"'!J166="","",'Р 1. "Общие сведения"'!J166)</f>
        <v/>
      </c>
      <c r="C165" s="17" t="str">
        <f>IF('Р 1. "Общие сведения"'!H166="","",'Р 1. "Общие сведения"'!H166)</f>
        <v/>
      </c>
      <c r="D165" s="17" t="str">
        <f>IF('Р 1. "Общие сведения"'!D166="","",'Р 1. "Общие сведения"'!D166)</f>
        <v/>
      </c>
      <c r="E165" s="17" t="str">
        <f>IF('Р 1. "Общие сведения"'!K166="","",'Р 1. "Общие сведения"'!K166)</f>
        <v/>
      </c>
      <c r="F165" s="18" t="str">
        <f>IF(OR(Таблица26[[#This Row],[Столбец1]]="",Таблица26[[#This Row],[Столбец5]]="",),"",VLOOKUP(A165,Таблица9[#All],2,FALSE))</f>
        <v/>
      </c>
      <c r="G165" s="21" t="str">
        <f>IF(OR(Таблица26[[#This Row],[Столбец1]]="",Таблица26[[#This Row],[Столбец5]]=""),"",VLOOKUP(A165,'Р 5. Финансирование'!$A$9:$D$89,3,FALSE))</f>
        <v/>
      </c>
      <c r="H165" s="21" t="str">
        <f>IF(OR(Таблица26[[#This Row],[Столбец1]]="",Таблица26[[#This Row],[Столбец5]]=""),"",VLOOKUP(A165,'Р 5. Финансирование'!$A$9:$D$89,4,FALSE))</f>
        <v/>
      </c>
      <c r="I165" s="22" t="str">
        <f>IF(OR(Таблица26[[#This Row],[Столбец5]]="отсутствует",Таблица26[[#This Row],[Столбец5]]=""),"",VLOOKUP(A165,'Р 4. Показатели_индикаторы'!$A$9:$J$103,3,FALSE))</f>
        <v/>
      </c>
      <c r="J165" s="22" t="str">
        <f>IF(OR(Таблица26[[#This Row],[Столбец5]]="отсутствует",Таблица26[[#This Row],[Столбец5]]=""),"",VLOOKUP(A165,'Р 4. Показатели_индикаторы'!$A$9:$J$103,4,FALSE))</f>
        <v/>
      </c>
      <c r="K165" s="22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Показатели_индикаторы'!$A$9:$J$103,5,FALSE))</f>
        <v/>
      </c>
      <c r="L165" s="22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Показатели_индикаторы'!$A$9:$J$103,6,FALSE))</f>
        <v/>
      </c>
      <c r="M165" s="22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Показатели_индикаторы'!$A$9:$J$103,7,FALSE))</f>
        <v/>
      </c>
      <c r="N165" s="22" t="str">
        <f>IF(OR(Таблица26[[#This Row],[Столбец1]]="",Таблица26[[#This Row],[Столбец5]]="",Таблица26[[#This Row],[Столбец5]]="отсутствует"),"",VLOOKUP(A165,'Р 4. Показатели_индикаторы'!$A$9:$J$103,8,FALSE))</f>
        <v/>
      </c>
      <c r="O165" s="24" t="str">
        <f>IF(VLOOKUP(A165,'Р 1. "Общие сведения"'!$I$8:$L$180,4,FALSE)="","",VLOOKUP(A165,'Р 1. "Общие сведения"'!$I$8:$L$180,4,FALSE))</f>
        <v/>
      </c>
    </row>
    <row r="166">
      <c r="A166" s="16" t="str">
        <f>IF('Р 1. "Общие сведения"'!I167="","",'Р 1. "Общие сведения"'!I167)</f>
        <v xml:space="preserve"> </v>
      </c>
      <c r="B166" s="17" t="str">
        <f>IF('Р 1. "Общие сведения"'!J167="","",'Р 1. "Общие сведения"'!J167)</f>
        <v/>
      </c>
      <c r="C166" s="17" t="str">
        <f>IF('Р 1. "Общие сведения"'!H167="","",'Р 1. "Общие сведения"'!H167)</f>
        <v/>
      </c>
      <c r="D166" s="17" t="str">
        <f>IF('Р 1. "Общие сведения"'!D167="","",'Р 1. "Общие сведения"'!D167)</f>
        <v/>
      </c>
      <c r="E166" s="17" t="str">
        <f>IF('Р 1. "Общие сведения"'!K167="","",'Р 1. "Общие сведения"'!K167)</f>
        <v/>
      </c>
      <c r="F166" s="18" t="str">
        <f>IF(OR(Таблица26[[#This Row],[Столбец1]]="",Таблица26[[#This Row],[Столбец5]]="",),"",VLOOKUP(A166,Таблица9[#All],2,FALSE))</f>
        <v/>
      </c>
      <c r="G166" s="21" t="str">
        <f>IF(OR(Таблица26[[#This Row],[Столбец1]]="",Таблица26[[#This Row],[Столбец5]]=""),"",VLOOKUP(A166,'Р 5. Финансирование'!$A$9:$D$89,3,FALSE))</f>
        <v/>
      </c>
      <c r="H166" s="21" t="str">
        <f>IF(OR(Таблица26[[#This Row],[Столбец1]]="",Таблица26[[#This Row],[Столбец5]]=""),"",VLOOKUP(A166,'Р 5. Финансирование'!$A$9:$D$89,4,FALSE))</f>
        <v/>
      </c>
      <c r="I166" s="22" t="str">
        <f>IF(OR(Таблица26[[#This Row],[Столбец5]]="отсутствует",Таблица26[[#This Row],[Столбец5]]=""),"",VLOOKUP(A166,'Р 4. Показатели_индикаторы'!$A$9:$J$103,3,FALSE))</f>
        <v/>
      </c>
      <c r="J166" s="22" t="str">
        <f>IF(OR(Таблица26[[#This Row],[Столбец5]]="отсутствует",Таблица26[[#This Row],[Столбец5]]=""),"",VLOOKUP(A166,'Р 4. Показатели_индикаторы'!$A$9:$J$103,4,FALSE))</f>
        <v/>
      </c>
      <c r="K166" s="22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Показатели_индикаторы'!$A$9:$J$103,5,FALSE))</f>
        <v/>
      </c>
      <c r="L166" s="22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Показатели_индикаторы'!$A$9:$J$103,6,FALSE))</f>
        <v/>
      </c>
      <c r="M166" s="22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Показатели_индикаторы'!$A$9:$J$103,7,FALSE))</f>
        <v/>
      </c>
      <c r="N166" s="22" t="str">
        <f>IF(OR(Таблица26[[#This Row],[Столбец1]]="",Таблица26[[#This Row],[Столбец5]]="",Таблица26[[#This Row],[Столбец5]]="отсутствует"),"",VLOOKUP(A166,'Р 4. Показатели_индикаторы'!$A$9:$J$103,8,FALSE))</f>
        <v/>
      </c>
      <c r="O166" s="24" t="str">
        <f>IF(VLOOKUP(A166,'Р 1. "Общие сведения"'!$I$8:$L$180,4,FALSE)="","",VLOOKUP(A166,'Р 1. "Общие сведения"'!$I$8:$L$180,4,FALSE))</f>
        <v/>
      </c>
    </row>
    <row r="167">
      <c r="A167" s="16" t="str">
        <f>IF('Р 1. "Общие сведения"'!I168="","",'Р 1. "Общие сведения"'!I168)</f>
        <v xml:space="preserve"> </v>
      </c>
      <c r="B167" s="17" t="str">
        <f>IF('Р 1. "Общие сведения"'!J168="","",'Р 1. "Общие сведения"'!J168)</f>
        <v/>
      </c>
      <c r="C167" s="17" t="str">
        <f>IF('Р 1. "Общие сведения"'!H168="","",'Р 1. "Общие сведения"'!H168)</f>
        <v/>
      </c>
      <c r="D167" s="17" t="str">
        <f>IF('Р 1. "Общие сведения"'!D168="","",'Р 1. "Общие сведения"'!D168)</f>
        <v/>
      </c>
      <c r="E167" s="17" t="str">
        <f>IF('Р 1. "Общие сведения"'!K168="","",'Р 1. "Общие сведения"'!K168)</f>
        <v/>
      </c>
      <c r="F167" s="18" t="str">
        <f>IF(OR(Таблица26[[#This Row],[Столбец1]]="",Таблица26[[#This Row],[Столбец5]]="",),"",VLOOKUP(A167,Таблица9[#All],2,FALSE))</f>
        <v/>
      </c>
      <c r="G167" s="21" t="str">
        <f>IF(OR(Таблица26[[#This Row],[Столбец1]]="",Таблица26[[#This Row],[Столбец5]]=""),"",VLOOKUP(A167,'Р 5. Финансирование'!$A$9:$D$89,3,FALSE))</f>
        <v/>
      </c>
      <c r="H167" s="21" t="str">
        <f>IF(OR(Таблица26[[#This Row],[Столбец1]]="",Таблица26[[#This Row],[Столбец5]]=""),"",VLOOKUP(A167,'Р 5. Финансирование'!$A$9:$D$89,4,FALSE))</f>
        <v/>
      </c>
      <c r="I167" s="22" t="str">
        <f>IF(OR(Таблица26[[#This Row],[Столбец5]]="отсутствует",Таблица26[[#This Row],[Столбец5]]=""),"",VLOOKUP(A167,'Р 4. Показатели_индикаторы'!$A$9:$J$103,3,FALSE))</f>
        <v/>
      </c>
      <c r="J167" s="22" t="str">
        <f>IF(OR(Таблица26[[#This Row],[Столбец5]]="отсутствует",Таблица26[[#This Row],[Столбец5]]=""),"",VLOOKUP(A167,'Р 4. Показатели_индикаторы'!$A$9:$J$103,4,FALSE))</f>
        <v/>
      </c>
      <c r="K167" s="22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Показатели_индикаторы'!$A$9:$J$103,5,FALSE))</f>
        <v/>
      </c>
      <c r="L167" s="22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Показатели_индикаторы'!$A$9:$J$103,6,FALSE))</f>
        <v/>
      </c>
      <c r="M167" s="22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Показатели_индикаторы'!$A$9:$J$103,7,FALSE))</f>
        <v/>
      </c>
      <c r="N167" s="22" t="str">
        <f>IF(OR(Таблица26[[#This Row],[Столбец1]]="",Таблица26[[#This Row],[Столбец5]]="",Таблица26[[#This Row],[Столбец5]]="отсутствует"),"",VLOOKUP(A167,'Р 4. Показатели_индикаторы'!$A$9:$J$103,8,FALSE))</f>
        <v/>
      </c>
      <c r="O167" s="24" t="str">
        <f>IF(VLOOKUP(A167,'Р 1. "Общие сведения"'!$I$8:$L$180,4,FALSE)="","",VLOOKUP(A167,'Р 1. "Общие сведения"'!$I$8:$L$180,4,FALSE))</f>
        <v/>
      </c>
    </row>
    <row r="168">
      <c r="A168" s="16" t="str">
        <f>IF('Р 1. "Общие сведения"'!I169="","",'Р 1. "Общие сведения"'!I169)</f>
        <v xml:space="preserve"> </v>
      </c>
      <c r="B168" s="17" t="str">
        <f>IF('Р 1. "Общие сведения"'!J169="","",'Р 1. "Общие сведения"'!J169)</f>
        <v/>
      </c>
      <c r="C168" s="17" t="str">
        <f>IF('Р 1. "Общие сведения"'!H169="","",'Р 1. "Общие сведения"'!H169)</f>
        <v/>
      </c>
      <c r="D168" s="17" t="str">
        <f>IF('Р 1. "Общие сведения"'!D169="","",'Р 1. "Общие сведения"'!D169)</f>
        <v/>
      </c>
      <c r="E168" s="17" t="str">
        <f>IF('Р 1. "Общие сведения"'!K169="","",'Р 1. "Общие сведения"'!K169)</f>
        <v/>
      </c>
      <c r="F168" s="18" t="str">
        <f>IF(OR(Таблица26[[#This Row],[Столбец1]]="",Таблица26[[#This Row],[Столбец5]]="",),"",VLOOKUP(A168,Таблица9[#All],2,FALSE))</f>
        <v/>
      </c>
      <c r="G168" s="21" t="str">
        <f>IF(OR(Таблица26[[#This Row],[Столбец1]]="",Таблица26[[#This Row],[Столбец5]]=""),"",VLOOKUP(A168,'Р 5. Финансирование'!$A$9:$D$89,3,FALSE))</f>
        <v/>
      </c>
      <c r="H168" s="21" t="str">
        <f>IF(OR(Таблица26[[#This Row],[Столбец1]]="",Таблица26[[#This Row],[Столбец5]]=""),"",VLOOKUP(A168,'Р 5. Финансирование'!$A$9:$D$89,4,FALSE))</f>
        <v/>
      </c>
      <c r="I168" s="22" t="str">
        <f>IF(OR(Таблица26[[#This Row],[Столбец5]]="отсутствует",Таблица26[[#This Row],[Столбец5]]=""),"",VLOOKUP(A168,'Р 4. Показатели_индикаторы'!$A$9:$J$103,3,FALSE))</f>
        <v/>
      </c>
      <c r="J168" s="22" t="str">
        <f>IF(OR(Таблица26[[#This Row],[Столбец5]]="отсутствует",Таблица26[[#This Row],[Столбец5]]=""),"",VLOOKUP(A168,'Р 4. Показатели_индикаторы'!$A$9:$J$103,4,FALSE))</f>
        <v/>
      </c>
      <c r="K168" s="22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Показатели_индикаторы'!$A$9:$J$103,5,FALSE))</f>
        <v/>
      </c>
      <c r="L168" s="22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Показатели_индикаторы'!$A$9:$J$103,6,FALSE))</f>
        <v/>
      </c>
      <c r="M168" s="22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Показатели_индикаторы'!$A$9:$J$103,7,FALSE))</f>
        <v/>
      </c>
      <c r="N168" s="22" t="str">
        <f>IF(OR(Таблица26[[#This Row],[Столбец1]]="",Таблица26[[#This Row],[Столбец5]]="",Таблица26[[#This Row],[Столбец5]]="отсутствует"),"",VLOOKUP(A168,'Р 4. Показатели_индикаторы'!$A$9:$J$103,8,FALSE))</f>
        <v/>
      </c>
      <c r="O168" s="24" t="str">
        <f>IF(VLOOKUP(A168,'Р 1. "Общие сведения"'!$I$8:$L$180,4,FALSE)="","",VLOOKUP(A168,'Р 1. "Общие сведения"'!$I$8:$L$180,4,FALSE))</f>
        <v/>
      </c>
    </row>
    <row r="169">
      <c r="A169" s="16" t="str">
        <f>IF('Р 1. "Общие сведения"'!I170="","",'Р 1. "Общие сведения"'!I170)</f>
        <v xml:space="preserve"> </v>
      </c>
      <c r="B169" s="17" t="str">
        <f>IF('Р 1. "Общие сведения"'!J170="","",'Р 1. "Общие сведения"'!J170)</f>
        <v/>
      </c>
      <c r="C169" s="17" t="str">
        <f>IF('Р 1. "Общие сведения"'!H170="","",'Р 1. "Общие сведения"'!H170)</f>
        <v/>
      </c>
      <c r="D169" s="17" t="str">
        <f>IF('Р 1. "Общие сведения"'!D170="","",'Р 1. "Общие сведения"'!D170)</f>
        <v/>
      </c>
      <c r="E169" s="17" t="str">
        <f>IF('Р 1. "Общие сведения"'!K170="","",'Р 1. "Общие сведения"'!K170)</f>
        <v/>
      </c>
      <c r="F169" s="18" t="str">
        <f>IF(OR(Таблица26[[#This Row],[Столбец1]]="",Таблица26[[#This Row],[Столбец5]]="",),"",VLOOKUP(A169,Таблица9[#All],2,FALSE))</f>
        <v/>
      </c>
      <c r="G169" s="21" t="str">
        <f>IF(OR(Таблица26[[#This Row],[Столбец1]]="",Таблица26[[#This Row],[Столбец5]]=""),"",VLOOKUP(A169,'Р 5. Финансирование'!$A$9:$D$89,3,FALSE))</f>
        <v/>
      </c>
      <c r="H169" s="21" t="str">
        <f>IF(OR(Таблица26[[#This Row],[Столбец1]]="",Таблица26[[#This Row],[Столбец5]]=""),"",VLOOKUP(A169,'Р 5. Финансирование'!$A$9:$D$89,4,FALSE))</f>
        <v/>
      </c>
      <c r="I169" s="22" t="str">
        <f>IF(OR(Таблица26[[#This Row],[Столбец5]]="отсутствует",Таблица26[[#This Row],[Столбец5]]=""),"",VLOOKUP(A169,'Р 4. Показатели_индикаторы'!$A$9:$J$103,3,FALSE))</f>
        <v/>
      </c>
      <c r="J169" s="22" t="str">
        <f>IF(OR(Таблица26[[#This Row],[Столбец5]]="отсутствует",Таблица26[[#This Row],[Столбец5]]=""),"",VLOOKUP(A169,'Р 4. Показатели_индикаторы'!$A$9:$J$103,4,FALSE))</f>
        <v/>
      </c>
      <c r="K169" s="22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Показатели_индикаторы'!$A$9:$J$103,5,FALSE))</f>
        <v/>
      </c>
      <c r="L169" s="22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Показатели_индикаторы'!$A$9:$J$103,6,FALSE))</f>
        <v/>
      </c>
      <c r="M169" s="22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Показатели_индикаторы'!$A$9:$J$103,7,FALSE))</f>
        <v/>
      </c>
      <c r="N169" s="22" t="str">
        <f>IF(OR(Таблица26[[#This Row],[Столбец1]]="",Таблица26[[#This Row],[Столбец5]]="",Таблица26[[#This Row],[Столбец5]]="отсутствует"),"",VLOOKUP(A169,'Р 4. Показатели_индикаторы'!$A$9:$J$103,8,FALSE))</f>
        <v/>
      </c>
      <c r="O169" s="24" t="str">
        <f>IF(VLOOKUP(A169,'Р 1. "Общие сведения"'!$I$8:$L$180,4,FALSE)="","",VLOOKUP(A169,'Р 1. "Общие сведения"'!$I$8:$L$180,4,FALSE))</f>
        <v/>
      </c>
    </row>
    <row r="170">
      <c r="A170" s="16" t="str">
        <f>IF('Р 1. "Общие сведения"'!I171="","",'Р 1. "Общие сведения"'!I171)</f>
        <v xml:space="preserve"> </v>
      </c>
      <c r="B170" s="17" t="str">
        <f>IF('Р 1. "Общие сведения"'!J171="","",'Р 1. "Общие сведения"'!J171)</f>
        <v/>
      </c>
      <c r="C170" s="17" t="str">
        <f>IF('Р 1. "Общие сведения"'!H171="","",'Р 1. "Общие сведения"'!H171)</f>
        <v/>
      </c>
      <c r="D170" s="17" t="str">
        <f>IF('Р 1. "Общие сведения"'!D171="","",'Р 1. "Общие сведения"'!D171)</f>
        <v/>
      </c>
      <c r="E170" s="17" t="str">
        <f>IF('Р 1. "Общие сведения"'!K171="","",'Р 1. "Общие сведения"'!K171)</f>
        <v/>
      </c>
      <c r="F170" s="18" t="str">
        <f>IF(OR(Таблица26[[#This Row],[Столбец1]]="",Таблица26[[#This Row],[Столбец5]]="",),"",VLOOKUP(A170,Таблица9[#All],2,FALSE))</f>
        <v/>
      </c>
      <c r="G170" s="21" t="str">
        <f>IF(OR(Таблица26[[#This Row],[Столбец1]]="",Таблица26[[#This Row],[Столбец5]]=""),"",VLOOKUP(A170,'Р 5. Финансирование'!$A$9:$D$89,3,FALSE))</f>
        <v/>
      </c>
      <c r="H170" s="21" t="str">
        <f>IF(OR(Таблица26[[#This Row],[Столбец1]]="",Таблица26[[#This Row],[Столбец5]]=""),"",VLOOKUP(A170,'Р 5. Финансирование'!$A$9:$D$89,4,FALSE))</f>
        <v/>
      </c>
      <c r="I170" s="22" t="str">
        <f>IF(OR(Таблица26[[#This Row],[Столбец5]]="отсутствует",Таблица26[[#This Row],[Столбец5]]=""),"",VLOOKUP(A170,'Р 4. Показатели_индикаторы'!$A$9:$J$103,3,FALSE))</f>
        <v/>
      </c>
      <c r="J170" s="22" t="str">
        <f>IF(OR(Таблица26[[#This Row],[Столбец5]]="отсутствует",Таблица26[[#This Row],[Столбец5]]=""),"",VLOOKUP(A170,'Р 4. Показатели_индикаторы'!$A$9:$J$103,4,FALSE))</f>
        <v/>
      </c>
      <c r="K170" s="22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Показатели_индикаторы'!$A$9:$J$103,5,FALSE))</f>
        <v/>
      </c>
      <c r="L170" s="22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Показатели_индикаторы'!$A$9:$J$103,6,FALSE))</f>
        <v/>
      </c>
      <c r="M170" s="22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Показатели_индикаторы'!$A$9:$J$103,7,FALSE))</f>
        <v/>
      </c>
      <c r="N170" s="22" t="str">
        <f>IF(OR(Таблица26[[#This Row],[Столбец1]]="",Таблица26[[#This Row],[Столбец5]]="",Таблица26[[#This Row],[Столбец5]]="отсутствует"),"",VLOOKUP(A170,'Р 4. Показатели_индикаторы'!$A$9:$J$103,8,FALSE))</f>
        <v/>
      </c>
      <c r="O170" s="24" t="str">
        <f>IF(VLOOKUP(A170,'Р 1. "Общие сведения"'!$I$8:$L$180,4,FALSE)="","",VLOOKUP(A170,'Р 1. "Общие сведения"'!$I$8:$L$180,4,FALSE))</f>
        <v/>
      </c>
    </row>
    <row r="171">
      <c r="A171" s="16" t="str">
        <f>IF('Р 1. "Общие сведения"'!I172="","",'Р 1. "Общие сведения"'!I172)</f>
        <v xml:space="preserve"> </v>
      </c>
      <c r="B171" s="17" t="str">
        <f>IF('Р 1. "Общие сведения"'!J172="","",'Р 1. "Общие сведения"'!J172)</f>
        <v/>
      </c>
      <c r="C171" s="17" t="str">
        <f>IF('Р 1. "Общие сведения"'!H172="","",'Р 1. "Общие сведения"'!H172)</f>
        <v/>
      </c>
      <c r="D171" s="17" t="str">
        <f>IF('Р 1. "Общие сведения"'!D172="","",'Р 1. "Общие сведения"'!D172)</f>
        <v/>
      </c>
      <c r="E171" s="17" t="str">
        <f>IF('Р 1. "Общие сведения"'!K172="","",'Р 1. "Общие сведения"'!K172)</f>
        <v/>
      </c>
      <c r="F171" s="18" t="str">
        <f>IF(OR(Таблица26[[#This Row],[Столбец1]]="",Таблица26[[#This Row],[Столбец5]]="",),"",VLOOKUP(A171,Таблица9[#All],2,FALSE))</f>
        <v/>
      </c>
      <c r="G171" s="21" t="str">
        <f>IF(OR(Таблица26[[#This Row],[Столбец1]]="",Таблица26[[#This Row],[Столбец5]]=""),"",VLOOKUP(A171,'Р 5. Финансирование'!$A$9:$D$89,3,FALSE))</f>
        <v/>
      </c>
      <c r="H171" s="21" t="str">
        <f>IF(OR(Таблица26[[#This Row],[Столбец1]]="",Таблица26[[#This Row],[Столбец5]]=""),"",VLOOKUP(A171,'Р 5. Финансирование'!$A$9:$D$89,4,FALSE))</f>
        <v/>
      </c>
      <c r="I171" s="22" t="str">
        <f>IF(OR(Таблица26[[#This Row],[Столбец5]]="отсутствует",Таблица26[[#This Row],[Столбец5]]=""),"",VLOOKUP(A171,'Р 4. Показатели_индикаторы'!$A$9:$J$103,3,FALSE))</f>
        <v/>
      </c>
      <c r="J171" s="22" t="str">
        <f>IF(OR(Таблица26[[#This Row],[Столбец5]]="отсутствует",Таблица26[[#This Row],[Столбец5]]=""),"",VLOOKUP(A171,'Р 4. Показатели_индикаторы'!$A$9:$J$103,4,FALSE))</f>
        <v/>
      </c>
      <c r="K171" s="22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Показатели_индикаторы'!$A$9:$J$103,5,FALSE))</f>
        <v/>
      </c>
      <c r="L171" s="22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Показатели_индикаторы'!$A$9:$J$103,6,FALSE))</f>
        <v/>
      </c>
      <c r="M171" s="22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Показатели_индикаторы'!$A$9:$J$103,7,FALSE))</f>
        <v/>
      </c>
      <c r="N171" s="22" t="str">
        <f>IF(OR(Таблица26[[#This Row],[Столбец1]]="",Таблица26[[#This Row],[Столбец5]]="",Таблица26[[#This Row],[Столбец5]]="отсутствует"),"",VLOOKUP(A171,'Р 4. Показатели_индикаторы'!$A$9:$J$103,8,FALSE))</f>
        <v/>
      </c>
      <c r="O171" s="24" t="str">
        <f>IF(VLOOKUP(A171,'Р 1. "Общие сведения"'!$I$8:$L$180,4,FALSE)="","",VLOOKUP(A171,'Р 1. "Общие сведения"'!$I$8:$L$180,4,FALSE))</f>
        <v/>
      </c>
    </row>
    <row r="172">
      <c r="A172" s="16" t="str">
        <f>IF('Р 1. "Общие сведения"'!I173="","",'Р 1. "Общие сведения"'!I173)</f>
        <v xml:space="preserve"> </v>
      </c>
      <c r="B172" s="17" t="str">
        <f>IF('Р 1. "Общие сведения"'!J173="","",'Р 1. "Общие сведения"'!J173)</f>
        <v/>
      </c>
      <c r="C172" s="17" t="str">
        <f>IF('Р 1. "Общие сведения"'!H173="","",'Р 1. "Общие сведения"'!H173)</f>
        <v/>
      </c>
      <c r="D172" s="17" t="str">
        <f>IF('Р 1. "Общие сведения"'!D173="","",'Р 1. "Общие сведения"'!D173)</f>
        <v/>
      </c>
      <c r="E172" s="17" t="str">
        <f>IF('Р 1. "Общие сведения"'!K173="","",'Р 1. "Общие сведения"'!K173)</f>
        <v/>
      </c>
      <c r="F172" s="18" t="str">
        <f>IF(OR(Таблица26[[#This Row],[Столбец1]]="",Таблица26[[#This Row],[Столбец5]]="",),"",VLOOKUP(A172,Таблица9[#All],2,FALSE))</f>
        <v/>
      </c>
      <c r="G172" s="21" t="str">
        <f>IF(OR(Таблица26[[#This Row],[Столбец1]]="",Таблица26[[#This Row],[Столбец5]]=""),"",VLOOKUP(A172,'Р 5. Финансирование'!$A$9:$D$89,3,FALSE))</f>
        <v/>
      </c>
      <c r="H172" s="21" t="str">
        <f>IF(OR(Таблица26[[#This Row],[Столбец1]]="",Таблица26[[#This Row],[Столбец5]]=""),"",VLOOKUP(A172,'Р 5. Финансирование'!$A$9:$D$89,4,FALSE))</f>
        <v/>
      </c>
      <c r="I172" s="22" t="str">
        <f>IF(OR(Таблица26[[#This Row],[Столбец5]]="отсутствует",Таблица26[[#This Row],[Столбец5]]=""),"",VLOOKUP(A172,'Р 4. Показатели_индикаторы'!$A$9:$J$103,3,FALSE))</f>
        <v/>
      </c>
      <c r="J172" s="22" t="str">
        <f>IF(OR(Таблица26[[#This Row],[Столбец5]]="отсутствует",Таблица26[[#This Row],[Столбец5]]=""),"",VLOOKUP(A172,'Р 4. Показатели_индикаторы'!$A$9:$J$103,4,FALSE))</f>
        <v/>
      </c>
      <c r="K172" s="22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Показатели_индикаторы'!$A$9:$J$103,5,FALSE))</f>
        <v/>
      </c>
      <c r="L172" s="22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Показатели_индикаторы'!$A$9:$J$103,6,FALSE))</f>
        <v/>
      </c>
      <c r="M172" s="22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Показатели_индикаторы'!$A$9:$J$103,7,FALSE))</f>
        <v/>
      </c>
      <c r="N172" s="22" t="str">
        <f>IF(OR(Таблица26[[#This Row],[Столбец1]]="",Таблица26[[#This Row],[Столбец5]]="",Таблица26[[#This Row],[Столбец5]]="отсутствует"),"",VLOOKUP(A172,'Р 4. Показатели_индикаторы'!$A$9:$J$103,8,FALSE))</f>
        <v/>
      </c>
      <c r="O172" s="24" t="str">
        <f>IF(VLOOKUP(A172,'Р 1. "Общие сведения"'!$I$8:$L$180,4,FALSE)="","",VLOOKUP(A172,'Р 1. "Общие сведения"'!$I$8:$L$180,4,FALSE))</f>
        <v/>
      </c>
    </row>
    <row r="173">
      <c r="A173" s="16" t="str">
        <f>IF('Р 1. "Общие сведения"'!I174="","",'Р 1. "Общие сведения"'!I174)</f>
        <v xml:space="preserve"> </v>
      </c>
      <c r="B173" s="17" t="str">
        <f>IF('Р 1. "Общие сведения"'!J174="","",'Р 1. "Общие сведения"'!J174)</f>
        <v/>
      </c>
      <c r="C173" s="17" t="str">
        <f>IF('Р 1. "Общие сведения"'!H174="","",'Р 1. "Общие сведения"'!H174)</f>
        <v/>
      </c>
      <c r="D173" s="17" t="str">
        <f>IF('Р 1. "Общие сведения"'!D174="","",'Р 1. "Общие сведения"'!D174)</f>
        <v/>
      </c>
      <c r="E173" s="17" t="str">
        <f>IF('Р 1. "Общие сведения"'!K174="","",'Р 1. "Общие сведения"'!K174)</f>
        <v/>
      </c>
      <c r="F173" s="18" t="str">
        <f>IF(OR(Таблица26[[#This Row],[Столбец1]]="",Таблица26[[#This Row],[Столбец5]]="",),"",VLOOKUP(A173,Таблица9[#All],2,FALSE))</f>
        <v/>
      </c>
      <c r="G173" s="21" t="str">
        <f>IF(OR(Таблица26[[#This Row],[Столбец1]]="",Таблица26[[#This Row],[Столбец5]]=""),"",VLOOKUP(A173,'Р 5. Финансирование'!$A$9:$D$89,3,FALSE))</f>
        <v/>
      </c>
      <c r="H173" s="21" t="str">
        <f>IF(OR(Таблица26[[#This Row],[Столбец1]]="",Таблица26[[#This Row],[Столбец5]]=""),"",VLOOKUP(A173,'Р 5. Финансирование'!$A$9:$D$89,4,FALSE))</f>
        <v/>
      </c>
      <c r="I173" s="22" t="str">
        <f>IF(OR(Таблица26[[#This Row],[Столбец5]]="отсутствует",Таблица26[[#This Row],[Столбец5]]=""),"",VLOOKUP(A173,'Р 4. Показатели_индикаторы'!$A$9:$J$103,3,FALSE))</f>
        <v/>
      </c>
      <c r="J173" s="22" t="str">
        <f>IF(OR(Таблица26[[#This Row],[Столбец5]]="отсутствует",Таблица26[[#This Row],[Столбец5]]=""),"",VLOOKUP(A173,'Р 4. Показатели_индикаторы'!$A$9:$J$103,4,FALSE))</f>
        <v/>
      </c>
      <c r="K173" s="22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Показатели_индикаторы'!$A$9:$J$103,5,FALSE))</f>
        <v/>
      </c>
      <c r="L173" s="22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Показатели_индикаторы'!$A$9:$J$103,6,FALSE))</f>
        <v/>
      </c>
      <c r="M173" s="22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Показатели_индикаторы'!$A$9:$J$103,7,FALSE))</f>
        <v/>
      </c>
      <c r="N173" s="22" t="str">
        <f>IF(OR(Таблица26[[#This Row],[Столбец1]]="",Таблица26[[#This Row],[Столбец5]]="",Таблица26[[#This Row],[Столбец5]]="отсутствует"),"",VLOOKUP(A173,'Р 4. Показатели_индикаторы'!$A$9:$J$103,8,FALSE))</f>
        <v/>
      </c>
      <c r="O173" s="24" t="str">
        <f>IF(VLOOKUP(A173,'Р 1. "Общие сведения"'!$I$8:$L$180,4,FALSE)="","",VLOOKUP(A173,'Р 1. "Общие сведения"'!$I$8:$L$180,4,FALSE))</f>
        <v/>
      </c>
    </row>
    <row r="174">
      <c r="A174" s="16" t="str">
        <f>IF('Р 1. "Общие сведения"'!I175="","",'Р 1. "Общие сведения"'!I175)</f>
        <v xml:space="preserve"> </v>
      </c>
      <c r="B174" s="17" t="str">
        <f>IF('Р 1. "Общие сведения"'!J175="","",'Р 1. "Общие сведения"'!J175)</f>
        <v/>
      </c>
      <c r="C174" s="17" t="str">
        <f>IF('Р 1. "Общие сведения"'!H175="","",'Р 1. "Общие сведения"'!H175)</f>
        <v/>
      </c>
      <c r="D174" s="17" t="str">
        <f>IF('Р 1. "Общие сведения"'!D175="","",'Р 1. "Общие сведения"'!D175)</f>
        <v/>
      </c>
      <c r="E174" s="17" t="str">
        <f>IF('Р 1. "Общие сведения"'!K175="","",'Р 1. "Общие сведения"'!K175)</f>
        <v/>
      </c>
      <c r="F174" s="18" t="str">
        <f>IF(OR(Таблица26[[#This Row],[Столбец1]]="",Таблица26[[#This Row],[Столбец5]]="",),"",VLOOKUP(A174,Таблица9[#All],2,FALSE))</f>
        <v/>
      </c>
      <c r="G174" s="21" t="str">
        <f>IF(OR(Таблица26[[#This Row],[Столбец1]]="",Таблица26[[#This Row],[Столбец5]]=""),"",VLOOKUP(A174,'Р 5. Финансирование'!$A$9:$D$89,3,FALSE))</f>
        <v/>
      </c>
      <c r="H174" s="21" t="str">
        <f>IF(OR(Таблица26[[#This Row],[Столбец1]]="",Таблица26[[#This Row],[Столбец5]]=""),"",VLOOKUP(A174,'Р 5. Финансирование'!$A$9:$D$89,4,FALSE))</f>
        <v/>
      </c>
      <c r="I174" s="22" t="str">
        <f>IF(OR(Таблица26[[#This Row],[Столбец5]]="отсутствует",Таблица26[[#This Row],[Столбец5]]=""),"",VLOOKUP(A174,'Р 4. Показатели_индикаторы'!$A$9:$J$103,3,FALSE))</f>
        <v/>
      </c>
      <c r="J174" s="22" t="str">
        <f>IF(OR(Таблица26[[#This Row],[Столбец5]]="отсутствует",Таблица26[[#This Row],[Столбец5]]=""),"",VLOOKUP(A174,'Р 4. Показатели_индикаторы'!$A$9:$J$103,4,FALSE))</f>
        <v/>
      </c>
      <c r="K174" s="22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Показатели_индикаторы'!$A$9:$J$103,5,FALSE))</f>
        <v/>
      </c>
      <c r="L174" s="22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Показатели_индикаторы'!$A$9:$J$103,6,FALSE))</f>
        <v/>
      </c>
      <c r="M174" s="22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Показатели_индикаторы'!$A$9:$J$103,7,FALSE))</f>
        <v/>
      </c>
      <c r="N174" s="22" t="str">
        <f>IF(OR(Таблица26[[#This Row],[Столбец1]]="",Таблица26[[#This Row],[Столбец5]]="",Таблица26[[#This Row],[Столбец5]]="отсутствует"),"",VLOOKUP(A174,'Р 4. Показатели_индикаторы'!$A$9:$J$103,8,FALSE))</f>
        <v/>
      </c>
      <c r="O174" s="24" t="str">
        <f>IF(VLOOKUP(A174,'Р 1. "Общие сведения"'!$I$8:$L$180,4,FALSE)="","",VLOOKUP(A174,'Р 1. "Общие сведения"'!$I$8:$L$180,4,FALSE))</f>
        <v/>
      </c>
    </row>
    <row r="175">
      <c r="A175" s="16" t="str">
        <f>IF('Р 1. "Общие сведения"'!I176="","",'Р 1. "Общие сведения"'!I176)</f>
        <v xml:space="preserve"> </v>
      </c>
      <c r="B175" s="17" t="str">
        <f>IF('Р 1. "Общие сведения"'!J176="","",'Р 1. "Общие сведения"'!J176)</f>
        <v/>
      </c>
      <c r="C175" s="17" t="str">
        <f>IF('Р 1. "Общие сведения"'!H176="","",'Р 1. "Общие сведения"'!H176)</f>
        <v/>
      </c>
      <c r="D175" s="17" t="str">
        <f>IF('Р 1. "Общие сведения"'!D176="","",'Р 1. "Общие сведения"'!D176)</f>
        <v/>
      </c>
      <c r="E175" s="17" t="str">
        <f>IF('Р 1. "Общие сведения"'!K176="","",'Р 1. "Общие сведения"'!K176)</f>
        <v/>
      </c>
      <c r="F175" s="18" t="str">
        <f>IF(OR(Таблица26[[#This Row],[Столбец1]]="",Таблица26[[#This Row],[Столбец5]]="",),"",VLOOKUP(A175,Таблица9[#All],2,FALSE))</f>
        <v/>
      </c>
      <c r="G175" s="21" t="str">
        <f>IF(OR(Таблица26[[#This Row],[Столбец1]]="",Таблица26[[#This Row],[Столбец5]]=""),"",VLOOKUP(A175,'Р 5. Финансирование'!$A$9:$D$89,3,FALSE))</f>
        <v/>
      </c>
      <c r="H175" s="21" t="str">
        <f>IF(OR(Таблица26[[#This Row],[Столбец1]]="",Таблица26[[#This Row],[Столбец5]]=""),"",VLOOKUP(A175,'Р 5. Финансирование'!$A$9:$D$89,4,FALSE))</f>
        <v/>
      </c>
      <c r="I175" s="22" t="str">
        <f>IF(OR(Таблица26[[#This Row],[Столбец5]]="отсутствует",Таблица26[[#This Row],[Столбец5]]=""),"",VLOOKUP(A175,'Р 4. Показатели_индикаторы'!$A$9:$J$103,3,FALSE))</f>
        <v/>
      </c>
      <c r="J175" s="22" t="str">
        <f>IF(OR(Таблица26[[#This Row],[Столбец5]]="отсутствует",Таблица26[[#This Row],[Столбец5]]=""),"",VLOOKUP(A175,'Р 4. Показатели_индикаторы'!$A$9:$J$103,4,FALSE))</f>
        <v/>
      </c>
      <c r="K175" s="22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Показатели_индикаторы'!$A$9:$J$103,5,FALSE))</f>
        <v/>
      </c>
      <c r="L175" s="22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Показатели_индикаторы'!$A$9:$J$103,6,FALSE))</f>
        <v/>
      </c>
      <c r="M175" s="22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Показатели_индикаторы'!$A$9:$J$103,7,FALSE))</f>
        <v/>
      </c>
      <c r="N175" s="22" t="str">
        <f>IF(OR(Таблица26[[#This Row],[Столбец1]]="",Таблица26[[#This Row],[Столбец5]]="",Таблица26[[#This Row],[Столбец5]]="отсутствует"),"",VLOOKUP(A175,'Р 4. Показатели_индикаторы'!$A$9:$J$103,8,FALSE))</f>
        <v/>
      </c>
      <c r="O175" s="24" t="str">
        <f>IF(VLOOKUP(A175,'Р 1. "Общие сведения"'!$I$8:$L$180,4,FALSE)="","",VLOOKUP(A175,'Р 1. "Общие сведения"'!$I$8:$L$180,4,FALSE))</f>
        <v/>
      </c>
    </row>
    <row r="176">
      <c r="A176" s="16" t="str">
        <f>IF('Р 1. "Общие сведения"'!I177="","",'Р 1. "Общие сведения"'!I177)</f>
        <v xml:space="preserve"> </v>
      </c>
      <c r="B176" s="17" t="str">
        <f>IF('Р 1. "Общие сведения"'!J177="","",'Р 1. "Общие сведения"'!J177)</f>
        <v/>
      </c>
      <c r="C176" s="17" t="str">
        <f>IF('Р 1. "Общие сведения"'!H177="","",'Р 1. "Общие сведения"'!H177)</f>
        <v/>
      </c>
      <c r="D176" s="17" t="str">
        <f>IF('Р 1. "Общие сведения"'!D177="","",'Р 1. "Общие сведения"'!D177)</f>
        <v/>
      </c>
      <c r="E176" s="17" t="str">
        <f>IF('Р 1. "Общие сведения"'!K177="","",'Р 1. "Общие сведения"'!K177)</f>
        <v/>
      </c>
      <c r="F176" s="18" t="str">
        <f>IF(OR(Таблица26[[#This Row],[Столбец1]]="",Таблица26[[#This Row],[Столбец5]]="",),"",VLOOKUP(A176,Таблица9[#All],2,FALSE))</f>
        <v/>
      </c>
      <c r="G176" s="21" t="str">
        <f>IF(OR(Таблица26[[#This Row],[Столбец1]]="",Таблица26[[#This Row],[Столбец5]]=""),"",VLOOKUP(A176,'Р 5. Финансирование'!$A$9:$D$89,3,FALSE))</f>
        <v/>
      </c>
      <c r="H176" s="21" t="str">
        <f>IF(OR(Таблица26[[#This Row],[Столбец1]]="",Таблица26[[#This Row],[Столбец5]]=""),"",VLOOKUP(A176,'Р 5. Финансирование'!$A$9:$D$89,4,FALSE))</f>
        <v/>
      </c>
      <c r="I176" s="22" t="str">
        <f>IF(OR(Таблица26[[#This Row],[Столбец5]]="отсутствует",Таблица26[[#This Row],[Столбец5]]=""),"",VLOOKUP(A176,'Р 4. Показатели_индикаторы'!$A$9:$J$103,3,FALSE))</f>
        <v/>
      </c>
      <c r="J176" s="22" t="str">
        <f>IF(OR(Таблица26[[#This Row],[Столбец5]]="отсутствует",Таблица26[[#This Row],[Столбец5]]=""),"",VLOOKUP(A176,'Р 4. Показатели_индикаторы'!$A$9:$J$103,4,FALSE))</f>
        <v/>
      </c>
      <c r="K176" s="22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Показатели_индикаторы'!$A$9:$J$103,5,FALSE))</f>
        <v/>
      </c>
      <c r="L176" s="22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Показатели_индикаторы'!$A$9:$J$103,6,FALSE))</f>
        <v/>
      </c>
      <c r="M176" s="22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Показатели_индикаторы'!$A$9:$J$103,7,FALSE))</f>
        <v/>
      </c>
      <c r="N176" s="22" t="str">
        <f>IF(OR(Таблица26[[#This Row],[Столбец1]]="",Таблица26[[#This Row],[Столбец5]]="",Таблица26[[#This Row],[Столбец5]]="отсутствует"),"",VLOOKUP(A176,'Р 4. Показатели_индикаторы'!$A$9:$J$103,8,FALSE))</f>
        <v/>
      </c>
      <c r="O176" s="24" t="str">
        <f>IF(VLOOKUP(A176,'Р 1. "Общие сведения"'!$I$8:$L$180,4,FALSE)="","",VLOOKUP(A176,'Р 1. "Общие сведения"'!$I$8:$L$180,4,FALSE))</f>
        <v/>
      </c>
    </row>
    <row r="177">
      <c r="A177" s="16" t="str">
        <f>IF('Р 1. "Общие сведения"'!I178="","",'Р 1. "Общие сведения"'!I178)</f>
        <v xml:space="preserve"> </v>
      </c>
      <c r="B177" s="17" t="str">
        <f>IF('Р 1. "Общие сведения"'!J178="","",'Р 1. "Общие сведения"'!J178)</f>
        <v/>
      </c>
      <c r="C177" s="17" t="str">
        <f>IF('Р 1. "Общие сведения"'!H178="","",'Р 1. "Общие сведения"'!H178)</f>
        <v/>
      </c>
      <c r="D177" s="17" t="str">
        <f>IF('Р 1. "Общие сведения"'!D178="","",'Р 1. "Общие сведения"'!D178)</f>
        <v/>
      </c>
      <c r="E177" s="17" t="str">
        <f>IF('Р 1. "Общие сведения"'!K178="","",'Р 1. "Общие сведения"'!K178)</f>
        <v/>
      </c>
      <c r="F177" s="18" t="str">
        <f>IF(OR(Таблица26[[#This Row],[Столбец1]]="",Таблица26[[#This Row],[Столбец5]]="",),"",VLOOKUP(A177,Таблица9[#All],2,FALSE))</f>
        <v/>
      </c>
      <c r="G177" s="21" t="str">
        <f>IF(OR(Таблица26[[#This Row],[Столбец1]]="",Таблица26[[#This Row],[Столбец5]]=""),"",VLOOKUP(A177,'Р 5. Финансирование'!$A$9:$D$89,3,FALSE))</f>
        <v/>
      </c>
      <c r="H177" s="21" t="str">
        <f>IF(OR(Таблица26[[#This Row],[Столбец1]]="",Таблица26[[#This Row],[Столбец5]]=""),"",VLOOKUP(A177,'Р 5. Финансирование'!$A$9:$D$89,4,FALSE))</f>
        <v/>
      </c>
      <c r="I177" s="22" t="str">
        <f>IF(OR(Таблица26[[#This Row],[Столбец5]]="отсутствует",Таблица26[[#This Row],[Столбец5]]=""),"",VLOOKUP(A177,'Р 4. Показатели_индикаторы'!$A$9:$J$103,3,FALSE))</f>
        <v/>
      </c>
      <c r="J177" s="22" t="str">
        <f>IF(OR(Таблица26[[#This Row],[Столбец5]]="отсутствует",Таблица26[[#This Row],[Столбец5]]=""),"",VLOOKUP(A177,'Р 4. Показатели_индикаторы'!$A$9:$J$103,4,FALSE))</f>
        <v/>
      </c>
      <c r="K177" s="22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Показатели_индикаторы'!$A$9:$J$103,5,FALSE))</f>
        <v/>
      </c>
      <c r="L177" s="22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Показатели_индикаторы'!$A$9:$J$103,6,FALSE))</f>
        <v/>
      </c>
      <c r="M177" s="22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Показатели_индикаторы'!$A$9:$J$103,7,FALSE))</f>
        <v/>
      </c>
      <c r="N177" s="22" t="str">
        <f>IF(OR(Таблица26[[#This Row],[Столбец1]]="",Таблица26[[#This Row],[Столбец5]]="",Таблица26[[#This Row],[Столбец5]]="отсутствует"),"",VLOOKUP(A177,'Р 4. Показатели_индикаторы'!$A$9:$J$103,8,FALSE))</f>
        <v/>
      </c>
      <c r="O177" s="24" t="str">
        <f>IF(VLOOKUP(A177,'Р 1. "Общие сведения"'!$I$8:$L$180,4,FALSE)="","",VLOOKUP(A177,'Р 1. "Общие сведения"'!$I$8:$L$180,4,FALSE))</f>
        <v/>
      </c>
    </row>
    <row r="178">
      <c r="A178" s="16" t="str">
        <f>IF('Р 1. "Общие сведения"'!I179="","",'Р 1. "Общие сведения"'!I179)</f>
        <v xml:space="preserve"> </v>
      </c>
      <c r="B178" s="17" t="str">
        <f>IF('Р 1. "Общие сведения"'!J179="","",'Р 1. "Общие сведения"'!J179)</f>
        <v/>
      </c>
      <c r="C178" s="17" t="str">
        <f>IF('Р 1. "Общие сведения"'!H179="","",'Р 1. "Общие сведения"'!H179)</f>
        <v/>
      </c>
      <c r="D178" s="17" t="str">
        <f>IF('Р 1. "Общие сведения"'!D179="","",'Р 1. "Общие сведения"'!D179)</f>
        <v/>
      </c>
      <c r="E178" s="17" t="str">
        <f>IF('Р 1. "Общие сведения"'!K179="","",'Р 1. "Общие сведения"'!K179)</f>
        <v/>
      </c>
      <c r="F178" s="18" t="str">
        <f>IF(OR(Таблица26[[#This Row],[Столбец1]]="",Таблица26[[#This Row],[Столбец5]]="",),"",VLOOKUP(A178,Таблица9[#All],2,FALSE))</f>
        <v/>
      </c>
      <c r="G178" s="21" t="str">
        <f>IF(OR(Таблица26[[#This Row],[Столбец1]]="",Таблица26[[#This Row],[Столбец5]]=""),"",VLOOKUP(A178,'Р 5. Финансирование'!$A$9:$D$89,3,FALSE))</f>
        <v/>
      </c>
      <c r="H178" s="21" t="str">
        <f>IF(OR(Таблица26[[#This Row],[Столбец1]]="",Таблица26[[#This Row],[Столбец5]]=""),"",VLOOKUP(A178,'Р 5. Финансирование'!$A$9:$D$89,4,FALSE))</f>
        <v/>
      </c>
      <c r="I178" s="22" t="str">
        <f>IF(OR(Таблица26[[#This Row],[Столбец5]]="отсутствует",Таблица26[[#This Row],[Столбец5]]=""),"",VLOOKUP(A178,'Р 4. Показатели_индикаторы'!$A$9:$J$103,3,FALSE))</f>
        <v/>
      </c>
      <c r="J178" s="22" t="str">
        <f>IF(OR(Таблица26[[#This Row],[Столбец5]]="отсутствует",Таблица26[[#This Row],[Столбец5]]=""),"",VLOOKUP(A178,'Р 4. Показатели_индикаторы'!$A$9:$J$103,4,FALSE))</f>
        <v/>
      </c>
      <c r="K178" s="22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Показатели_индикаторы'!$A$9:$J$103,5,FALSE))</f>
        <v/>
      </c>
      <c r="L178" s="22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Показатели_индикаторы'!$A$9:$J$103,6,FALSE))</f>
        <v/>
      </c>
      <c r="M178" s="25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Показатели_индикаторы'!$A$9:$J$103,7,FALSE))</f>
        <v/>
      </c>
      <c r="N178" s="22" t="str">
        <f>IF(OR(Таблица26[[#This Row],[Столбец1]]="",Таблица26[[#This Row],[Столбец5]]="",Таблица26[[#This Row],[Столбец5]]="отсутствует"),"",VLOOKUP(A178,'Р 4. Показатели_индикаторы'!$A$9:$J$103,8,FALSE))</f>
        <v/>
      </c>
      <c r="O178" s="24" t="str">
        <f>IF(VLOOKUP(A178,'Р 1. "Общие сведения"'!$I$8:$L$180,4,FALSE)="","",VLOOKUP(A178,'Р 1. "Общие сведения"'!$I$8:$L$180,4,FALSE))</f>
        <v/>
      </c>
    </row>
    <row r="179">
      <c r="A179" s="16" t="str">
        <f>IF('Р 1. "Общие сведения"'!I180="","",'Р 1. "Общие сведения"'!I180)</f>
        <v xml:space="preserve"> </v>
      </c>
      <c r="B179" s="26" t="str">
        <f>IF('Р 1. "Общие сведения"'!J180="","",'Р 1. "Общие сведения"'!J180)</f>
        <v/>
      </c>
      <c r="C179" s="26" t="str">
        <f>IF('Р 1. "Общие сведения"'!H180="","",'Р 1. "Общие сведения"'!H180)</f>
        <v/>
      </c>
      <c r="D179" s="26" t="str">
        <f>IF('Р 1. "Общие сведения"'!D180="","",'Р 1. "Общие сведения"'!D180)</f>
        <v/>
      </c>
      <c r="E179" s="17" t="str">
        <f>IF('Р 1. "Общие сведения"'!K180="","",'Р 1. "Общие сведения"'!K180)</f>
        <v/>
      </c>
      <c r="F179" s="27" t="str">
        <f>IF(OR(Таблица26[[#This Row],[Столбец1]]="",Таблица26[[#This Row],[Столбец5]]="",),"",VLOOKUP(A179,Таблица9[#All],2,FALSE))</f>
        <v/>
      </c>
      <c r="G179" s="28" t="str">
        <f>IF(OR(Таблица26[[#This Row],[Столбец1]]="",Таблица26[[#This Row],[Столбец5]]=""),"",VLOOKUP(A179,'Р 5. Финансирование'!$A$9:$D$89,3,FALSE))</f>
        <v/>
      </c>
      <c r="H179" s="28" t="str">
        <f>IF(OR(Таблица26[[#This Row],[Столбец1]]="",Таблица26[[#This Row],[Столбец5]]=""),"",VLOOKUP(A179,'Р 5. Финансирование'!$A$9:$D$89,4,FALSE))</f>
        <v/>
      </c>
      <c r="I179" s="29" t="str">
        <f>IF(OR(Таблица26[[#This Row],[Столбец5]]="отсутствует",Таблица26[[#This Row],[Столбец5]]=""),"",VLOOKUP(A179,'Р 4. Показатели_индикаторы'!$A$9:$J$103,3,FALSE))</f>
        <v/>
      </c>
      <c r="J179" s="29" t="str">
        <f>IF(OR(Таблица26[[#This Row],[Столбец5]]="отсутствует",Таблица26[[#This Row],[Столбец5]]=""),"",VLOOKUP(A179,'Р 4. Показатели_индикаторы'!$A$9:$J$103,4,FALSE))</f>
        <v/>
      </c>
      <c r="K179" s="29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Показатели_индикаторы'!$A$9:$J$103,5,FALSE))</f>
        <v/>
      </c>
      <c r="L179" s="29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Показатели_индикаторы'!$A$9:$J$103,6,FALSE))</f>
        <v/>
      </c>
      <c r="M179" s="22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Показатели_индикаторы'!$A$9:$J$103,7,FALSE))</f>
        <v/>
      </c>
      <c r="N179" s="29" t="str">
        <f>IF(OR(Таблица26[[#This Row],[Столбец1]]="",Таблица26[[#This Row],[Столбец5]]="",Таблица26[[#This Row],[Столбец5]]="отсутствует"),"",VLOOKUP(A179,'Р 4. Показатели_индикаторы'!$A$9:$J$103,8,FALSE))</f>
        <v/>
      </c>
      <c r="O179" s="30" t="str">
        <f>IF(VLOOKUP(A179,'Р 1. "Общие сведения"'!$I$8:$L$180,4,FALSE)="","",VLOOKUP(A179,'Р 1. "Общие сведения"'!$I$8:$L$180,4,FALSE))</f>
        <v/>
      </c>
    </row>
    <row r="180" ht="8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</sheetData>
  <mergeCells count="12">
    <mergeCell ref="A5:A7"/>
    <mergeCell ref="B5:B7"/>
    <mergeCell ref="C5:C7"/>
    <mergeCell ref="D5:D7"/>
    <mergeCell ref="E5:E7"/>
    <mergeCell ref="F5:H6"/>
    <mergeCell ref="I5:N5"/>
    <mergeCell ref="O5:O7"/>
    <mergeCell ref="I6:I7"/>
    <mergeCell ref="J6:J7"/>
    <mergeCell ref="K6:K7"/>
    <mergeCell ref="L6:N6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4">
    <outlinePr applyStyles="0" summaryBelow="1" summaryRight="1" showOutlineSymbols="1"/>
    <pageSetUpPr autoPageBreaks="1" fitToPage="0"/>
  </sheetPr>
  <sheetViews>
    <sheetView view="pageBreakPreview" zoomScale="85" workbookViewId="0">
      <selection activeCell="G48" activeCellId="0" sqref="G48"/>
    </sheetView>
  </sheetViews>
  <sheetFormatPr defaultRowHeight="14.25"/>
  <cols>
    <col customWidth="1" min="1" max="1" style="32" width="15.140625"/>
    <col customWidth="1" min="2" max="2" style="32" width="17.85546875"/>
    <col customWidth="1" min="3" max="3" style="32" width="20.7109375"/>
    <col customWidth="1" min="4" max="4" style="32" width="19.140625"/>
    <col customWidth="1" min="5" max="5" style="32" width="21"/>
    <col customWidth="1" min="6" max="7" style="32" width="15.42578125"/>
    <col customWidth="1" min="8" max="8" style="32" width="19.42578125"/>
    <col customWidth="1" min="9" max="9" style="32" width="11.85546875"/>
    <col customWidth="1" min="10" max="10" style="32" width="13.42578125"/>
    <col customWidth="1" min="11" max="11" style="32" width="12.85546875"/>
    <col customWidth="1" min="12" max="13" style="32" width="13.140625"/>
    <col customWidth="1" min="14" max="14" style="32" width="44.85546875"/>
    <col min="15" max="15" style="32" width="9.140625"/>
    <col customWidth="1" hidden="1" min="16" max="16" style="32" width="0"/>
    <col min="17" max="16384" style="32" width="9.140625"/>
  </cols>
  <sheetData>
    <row r="1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ht="15">
      <c r="A2" s="34" t="s">
        <v>171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">
      <c r="A3" s="34" t="s">
        <v>172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">
      <c r="A4" s="3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5">
      <c r="A5" s="33"/>
      <c r="B5" s="33"/>
      <c r="C5" s="34"/>
      <c r="D5" s="34"/>
      <c r="E5" s="34"/>
      <c r="F5" s="34"/>
      <c r="G5" s="34"/>
      <c r="H5" s="34"/>
      <c r="I5" s="34"/>
      <c r="J5" s="34"/>
      <c r="K5" s="35"/>
      <c r="L5" s="35" t="s">
        <v>173</v>
      </c>
      <c r="M5" s="35"/>
      <c r="N5" s="35" t="s">
        <v>174</v>
      </c>
    </row>
    <row r="6" ht="15">
      <c r="A6" s="34" t="s">
        <v>175</v>
      </c>
      <c r="B6" s="34"/>
      <c r="C6" s="33"/>
      <c r="D6" s="33"/>
      <c r="E6" s="33"/>
      <c r="F6" s="33"/>
      <c r="G6" s="33"/>
      <c r="H6" s="33"/>
      <c r="I6" s="33"/>
      <c r="J6" s="33"/>
      <c r="K6" s="36" t="s">
        <v>176</v>
      </c>
      <c r="L6" s="37">
        <f ca="1">NOW()</f>
        <v>45328.573761574073</v>
      </c>
      <c r="M6" s="37"/>
      <c r="N6" s="38"/>
      <c r="P6" s="32">
        <f>L7</f>
        <v>818</v>
      </c>
    </row>
    <row r="7" ht="15">
      <c r="A7" s="39" t="s">
        <v>177</v>
      </c>
      <c r="B7" s="39"/>
      <c r="C7" s="39"/>
      <c r="D7" s="39"/>
      <c r="E7" s="39"/>
      <c r="F7" s="39"/>
      <c r="G7" s="39"/>
      <c r="H7" s="33"/>
      <c r="I7" s="33"/>
      <c r="J7" s="33"/>
      <c r="K7" s="36" t="s">
        <v>178</v>
      </c>
      <c r="L7" s="40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области",Справочники!D17,IF(A7="Министерство региональной и информационной политики Оренбургской области",Справочники!D7,IF(A7="Министерство цифрового развития и связи Оренбургской области",Справочники!D18,IF(A7="Департамент архитектуры и пространственно-градостроительного развития Оренбургской области",Справочники!D19,IF(A7="Комитет внутреннего государственного финансового контроля Оренбургской области",Справочники!D30)))))))))))))))))))))))))))))</f>
        <v>818</v>
      </c>
      <c r="M7" s="41"/>
      <c r="N7" s="33"/>
    </row>
    <row r="8" ht="15">
      <c r="A8" s="42" t="s">
        <v>179</v>
      </c>
      <c r="B8" s="42"/>
      <c r="C8" s="42"/>
      <c r="D8" s="42"/>
      <c r="E8" s="42"/>
      <c r="F8" s="42"/>
      <c r="G8" s="42"/>
      <c r="H8" s="33"/>
      <c r="I8" s="33"/>
      <c r="J8" s="33"/>
      <c r="K8" s="36" t="s">
        <v>180</v>
      </c>
      <c r="L8" s="35">
        <v>384</v>
      </c>
      <c r="M8" s="35"/>
      <c r="N8" s="33"/>
    </row>
    <row r="9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6" t="s">
        <v>181</v>
      </c>
      <c r="L9" s="43" t="s">
        <v>182</v>
      </c>
      <c r="M9" s="43"/>
      <c r="N9" s="33"/>
    </row>
    <row r="10" ht="3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44" t="s">
        <v>183</v>
      </c>
      <c r="L10" s="43"/>
      <c r="M10" s="43"/>
      <c r="N10" s="33"/>
    </row>
    <row r="11" ht="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="45" customFormat="1" ht="38.25" customHeight="1">
      <c r="A12" s="46" t="s">
        <v>184</v>
      </c>
      <c r="B12" s="47" t="s">
        <v>155</v>
      </c>
      <c r="C12" s="47" t="s">
        <v>156</v>
      </c>
      <c r="D12" s="47" t="s">
        <v>157</v>
      </c>
      <c r="E12" s="47" t="s">
        <v>158</v>
      </c>
      <c r="F12" s="47"/>
      <c r="G12" s="47"/>
      <c r="H12" s="47" t="s">
        <v>159</v>
      </c>
      <c r="I12" s="47"/>
      <c r="J12" s="47"/>
      <c r="K12" s="47"/>
      <c r="L12" s="47"/>
      <c r="M12" s="47"/>
      <c r="N12" s="48" t="s">
        <v>160</v>
      </c>
    </row>
    <row r="13" ht="33" customHeight="1">
      <c r="A13" s="49"/>
      <c r="B13" s="50"/>
      <c r="C13" s="50"/>
      <c r="D13" s="50"/>
      <c r="E13" s="50"/>
      <c r="F13" s="50"/>
      <c r="G13" s="50"/>
      <c r="H13" s="50" t="s">
        <v>161</v>
      </c>
      <c r="I13" s="50" t="s">
        <v>162</v>
      </c>
      <c r="J13" s="50" t="s">
        <v>163</v>
      </c>
      <c r="K13" s="50" t="s">
        <v>164</v>
      </c>
      <c r="L13" s="50"/>
      <c r="M13" s="50"/>
      <c r="N13" s="51"/>
    </row>
    <row r="14" ht="51" customHeight="1">
      <c r="A14" s="52"/>
      <c r="B14" s="53"/>
      <c r="C14" s="53"/>
      <c r="D14" s="53"/>
      <c r="E14" s="53" t="s">
        <v>165</v>
      </c>
      <c r="F14" s="53" t="s">
        <v>166</v>
      </c>
      <c r="G14" s="53" t="s">
        <v>167</v>
      </c>
      <c r="H14" s="53"/>
      <c r="I14" s="53"/>
      <c r="J14" s="53"/>
      <c r="K14" s="53" t="s">
        <v>168</v>
      </c>
      <c r="L14" s="53" t="s">
        <v>169</v>
      </c>
      <c r="M14" s="53" t="s">
        <v>170</v>
      </c>
      <c r="N14" s="54"/>
    </row>
    <row r="15" ht="15">
      <c r="A15" s="55"/>
      <c r="B15" s="55" t="str">
        <f>IF(Таблица15[[#This Row],[Столбец1]]="","",INDEX(Лист2!$A$8:$O$179,MATCH(A15,Лист2!$B$8:$B$179,0),3))</f>
        <v/>
      </c>
      <c r="C15" s="56" t="str">
        <f>IF(Таблица15[[#This Row],[Столбец1]]="","",INDEX(Лист2!$A$8:$O$179,MATCH(A15,Лист2!$B$8:$B$179,0),4))</f>
        <v/>
      </c>
      <c r="D15" s="55" t="str">
        <f>IF(Таблица15[[#This Row],[Столбец1]]="","",INDEX(Лист2!$A$8:$O$179,MATCH(A15,Лист2!$B$8:$B$179,0),5))</f>
        <v/>
      </c>
      <c r="E15" s="57" t="str">
        <f>IF(Таблица15[[#This Row],[Столбец1]]="","",INDEX(Лист2!$A$8:$O$179,MATCH(A15,Лист2!$B$8:$B$179,0),6))</f>
        <v/>
      </c>
      <c r="F15" s="57" t="str">
        <f>IF(Таблица15[[#This Row],[Столбец1]]="","",INDEX(Лист2!$A$8:$O$179,MATCH(A15,Лист2!$B$8:$B$179,0),7))</f>
        <v/>
      </c>
      <c r="G15" s="57" t="str">
        <f>IF(Таблица15[[#This Row],[Столбец1]]="","",INDEX(Лист2!$A$8:$O$179,MATCH(A15,Лист2!$B$8:$B$179,0),8))</f>
        <v/>
      </c>
      <c r="H15" s="56" t="str">
        <f>IF(OR(Таблица15[[#This Row],[Столбец1]]="",Таблица15[[#This Row],[Столбец4]]="отсутствует"),"",INDEX(Лист2!$A$8:$O$179,MATCH(A15,Лист2!$B$8:$B$179,0),9))</f>
        <v/>
      </c>
      <c r="I15" s="55" t="str">
        <f>IF(OR(Таблица15[[#This Row],[Столбец1]]="",Таблица15[[#This Row],[Столбец4]]="отсутствует"),"",INDEX(Лист2!$A$8:$O$179,MATCH(A15,Лист2!$B$8:$B$179,0),10))</f>
        <v/>
      </c>
      <c r="J15" s="55" t="str">
        <f>IF(OR(Таблица15[[#This Row],[Столбец1]]="",Таблица15[[#This Row],[Столбец4]]="отсутствует"),"",INDEX(Лист2!$A$8:$O$179,MATCH(A15,Лист2!$B$8:$B$179,0),11))</f>
        <v/>
      </c>
      <c r="K15" s="55" t="str">
        <f>IF(OR(Таблица15[[#This Row],[Столбец1]]="",Таблица15[[#This Row],[Столбец4]]="отсутствует"),"",INDEX(Лист2!$A$8:$O$179,MATCH(A15,Лист2!$B$8:$B$179,0),12))</f>
        <v/>
      </c>
      <c r="L15" s="55" t="str">
        <f>IF(OR(Таблица15[[#This Row],[Столбец1]]="",Таблица15[[#This Row],[Столбец4]]="отсутствует"),"",INDEX(Лист2!$A$8:$O$179,MATCH(A15,Лист2!$B$8:$B$179,0),13))</f>
        <v/>
      </c>
      <c r="M15" s="55" t="str">
        <f>IF(OR(Таблица15[[#This Row],[Столбец1]]="",Таблица15[[#This Row],[Столбец4]]="отсутствует"),"",INDEX(Лист2!$A$8:$O$179,MATCH(A15,Лист2!$B$8:$B$179,0),14))</f>
        <v/>
      </c>
      <c r="N15" s="56" t="str">
        <f>IF(Таблица15[[#This Row],[Столбец1]]="","",IF(INDEX(Лист2!$A$8:$O$179,MATCH(A15,Лист2!$B$8:$B$179,0),15)=0,"",INDEX(Лист2!$A$8:$O$179,MATCH(A15,Лист2!$B$8:$B$179,0),15)))</f>
        <v/>
      </c>
      <c r="O15" s="58"/>
    </row>
    <row r="16" ht="15">
      <c r="A16" s="55"/>
      <c r="B16" s="55" t="str">
        <f>IF(Таблица15[[#This Row],[Столбец1]]="","",INDEX('Лист2'!$A$8:$O$179,MATCH(A16,'Лист2'!$B$8:$B$179,0),3))</f>
        <v/>
      </c>
      <c r="C16" s="56" t="str">
        <f>IF(Таблица15[[#This Row],[Столбец1]]="","",INDEX('Лист2'!$A$8:$O$179,MATCH(A16,'Лист2'!$B$8:$B$179,0),4))</f>
        <v/>
      </c>
      <c r="D16" s="55" t="str">
        <f>IF(Таблица15[[#This Row],[Столбец1]]="","",INDEX('Лист2'!$A$8:$O$179,MATCH(A16,'Лист2'!$B$8:$B$179,0),5))</f>
        <v/>
      </c>
      <c r="E16" s="57" t="str">
        <f>IF(Таблица15[[#This Row],[Столбец1]]="","",INDEX('Лист2'!$A$8:$O$179,MATCH(A16,'Лист2'!$B$8:$B$179,0),6))</f>
        <v/>
      </c>
      <c r="F16" s="57" t="str">
        <f>IF(Таблица15[[#This Row],[Столбец1]]="","",INDEX('Лист2'!$A$8:$O$179,MATCH(A16,'Лист2'!$B$8:$B$179,0),7))</f>
        <v/>
      </c>
      <c r="G16" s="57" t="str">
        <f>IF(Таблица15[[#This Row],[Столбец1]]="","",INDEX('Лист2'!$A$8:$O$179,MATCH(A16,'Лист2'!$B$8:$B$179,0),8))</f>
        <v/>
      </c>
      <c r="H16" s="56" t="str">
        <f>IF(OR(Таблица15[[#This Row],[Столбец1]]="",Таблица15[[#This Row],[Столбец4]]="отсутствует"),"",INDEX('Лист2'!$A$8:$O$179,MATCH(A16,'Лист2'!$B$8:$B$179,0),9))</f>
        <v/>
      </c>
      <c r="I16" s="55" t="str">
        <f>IF(OR(Таблица15[[#This Row],[Столбец1]]="",Таблица15[[#This Row],[Столбец4]]="отсутствует"),"",INDEX('Лист2'!$A$8:$O$179,MATCH(A16,'Лист2'!$B$8:$B$179,0),10))</f>
        <v/>
      </c>
      <c r="J16" s="55" t="str">
        <f>IF(OR(Таблица15[[#This Row],[Столбец1]]="",Таблица15[[#This Row],[Столбец4]]="отсутствует"),"",INDEX('Лист2'!$A$8:$O$179,MATCH(A16,'Лист2'!$B$8:$B$179,0),11))</f>
        <v/>
      </c>
      <c r="K16" s="55" t="str">
        <f>IF(OR(Таблица15[[#This Row],[Столбец1]]="",Таблица15[[#This Row],[Столбец4]]="отсутствует"),"",INDEX('Лист2'!$A$8:$O$179,MATCH(A16,'Лист2'!$B$8:$B$179,0),12))</f>
        <v/>
      </c>
      <c r="L16" s="55" t="str">
        <f>IF(OR(Таблица15[[#This Row],[Столбец1]]="",Таблица15[[#This Row],[Столбец4]]="отсутствует"),"",INDEX('Лист2'!$A$8:$O$179,MATCH(A16,'Лист2'!$B$8:$B$179,0),13))</f>
        <v/>
      </c>
      <c r="M16" s="55" t="str">
        <f>IF(OR(Таблица15[[#This Row],[Столбец1]]="",Таблица15[[#This Row],[Столбец4]]="отсутствует"),"",INDEX('Лист2'!$A$8:$O$179,MATCH(A16,'Лист2'!$B$8:$B$179,0),14))</f>
        <v/>
      </c>
      <c r="N16" s="56" t="str">
        <f>IF(Таблица15[[#This Row],[Столбец1]]="","",IF(INDEX('Лист2'!$A$8:$O$179,MATCH(A16,'Лист2'!$B$8:$B$179,0),15)=0,"",INDEX('Лист2'!$A$8:$O$179,MATCH(A16,'Лист2'!$B$8:$B$179,0),15)))</f>
        <v/>
      </c>
      <c r="O16" s="58"/>
    </row>
    <row r="17" ht="15">
      <c r="A17" s="55"/>
      <c r="B17" s="55" t="str">
        <f>IF(Таблица15[[#This Row],[Столбец1]]="","",INDEX('Лист2'!$A$8:$O$179,MATCH(A17,'Лист2'!$B$8:$B$179,0),3))</f>
        <v/>
      </c>
      <c r="C17" s="56" t="str">
        <f>IF(Таблица15[[#This Row],[Столбец1]]="","",INDEX('Лист2'!$A$8:$O$179,MATCH(A17,'Лист2'!$B$8:$B$179,0),4))</f>
        <v/>
      </c>
      <c r="D17" s="55" t="str">
        <f>IF(Таблица15[[#This Row],[Столбец1]]="","",INDEX('Лист2'!$A$8:$O$179,MATCH(A17,'Лист2'!$B$8:$B$179,0),5))</f>
        <v/>
      </c>
      <c r="E17" s="57" t="str">
        <f>IF(Таблица15[[#This Row],[Столбец1]]="","",INDEX('Лист2'!$A$8:$O$179,MATCH(A17,'Лист2'!$B$8:$B$179,0),6))</f>
        <v/>
      </c>
      <c r="F17" s="57" t="str">
        <f>IF(Таблица15[[#This Row],[Столбец1]]="","",INDEX('Лист2'!$A$8:$O$179,MATCH(A17,'Лист2'!$B$8:$B$179,0),7))</f>
        <v/>
      </c>
      <c r="G17" s="57" t="str">
        <f>IF(Таблица15[[#This Row],[Столбец1]]="","",INDEX('Лист2'!$A$8:$O$179,MATCH(A17,'Лист2'!$B$8:$B$179,0),8))</f>
        <v/>
      </c>
      <c r="H17" s="56" t="str">
        <f>IF(OR(Таблица15[[#This Row],[Столбец1]]="",Таблица15[[#This Row],[Столбец4]]="отсутствует"),"",INDEX('Лист2'!$A$8:$O$179,MATCH(A17,'Лист2'!$B$8:$B$179,0),9))</f>
        <v/>
      </c>
      <c r="I17" s="55" t="str">
        <f>IF(OR(Таблица15[[#This Row],[Столбец1]]="",Таблица15[[#This Row],[Столбец4]]="отсутствует"),"",INDEX('Лист2'!$A$8:$O$179,MATCH(A17,'Лист2'!$B$8:$B$179,0),10))</f>
        <v/>
      </c>
      <c r="J17" s="55" t="str">
        <f>IF(OR(Таблица15[[#This Row],[Столбец1]]="",Таблица15[[#This Row],[Столбец4]]="отсутствует"),"",INDEX('Лист2'!$A$8:$O$179,MATCH(A17,'Лист2'!$B$8:$B$179,0),11))</f>
        <v/>
      </c>
      <c r="K17" s="55" t="str">
        <f>IF(OR(Таблица15[[#This Row],[Столбец1]]="",Таблица15[[#This Row],[Столбец4]]="отсутствует"),"",INDEX('Лист2'!$A$8:$O$179,MATCH(A17,'Лист2'!$B$8:$B$179,0),12))</f>
        <v/>
      </c>
      <c r="L17" s="55" t="str">
        <f>IF(OR(Таблица15[[#This Row],[Столбец1]]="",Таблица15[[#This Row],[Столбец4]]="отсутствует"),"",INDEX('Лист2'!$A$8:$O$179,MATCH(A17,'Лист2'!$B$8:$B$179,0),13))</f>
        <v/>
      </c>
      <c r="M17" s="55" t="str">
        <f>IF(OR(Таблица15[[#This Row],[Столбец1]]="",Таблица15[[#This Row],[Столбец4]]="отсутствует"),"",INDEX('Лист2'!$A$8:$O$179,MATCH(A17,'Лист2'!$B$8:$B$179,0),14))</f>
        <v/>
      </c>
      <c r="N17" s="56" t="str">
        <f>IF(Таблица15[[#This Row],[Столбец1]]="","",IF(INDEX('Лист2'!$A$8:$O$179,MATCH(A17,'Лист2'!$B$8:$B$179,0),15)=0,"",INDEX('Лист2'!$A$8:$O$179,MATCH(A17,'Лист2'!$B$8:$B$179,0),15)))</f>
        <v/>
      </c>
      <c r="O17" s="58"/>
    </row>
    <row r="18" ht="47.25" customHeight="1">
      <c r="A18" s="59" t="s">
        <v>185</v>
      </c>
      <c r="B18" s="59"/>
      <c r="C18" s="59"/>
      <c r="D18" s="59"/>
      <c r="E18" s="60">
        <f>SUBTOTAL(109,Таблица15[[#All],[Столбец5]])</f>
        <v>0</v>
      </c>
      <c r="F18" s="60">
        <f>SUBTOTAL(109,Таблица15[[#All],[Столбец6]])</f>
        <v>0</v>
      </c>
      <c r="G18" s="60">
        <f>SUBTOTAL(109,Таблица15[[#All],[Столбец7]])</f>
        <v>0</v>
      </c>
      <c r="H18" s="59"/>
      <c r="I18" s="61"/>
      <c r="J18" s="61"/>
      <c r="K18" s="61"/>
      <c r="L18" s="61"/>
      <c r="M18" s="61"/>
      <c r="N18" s="61"/>
      <c r="O18" s="58"/>
    </row>
    <row r="19" ht="15">
      <c r="A19" s="55"/>
      <c r="B19" s="55" t="str">
        <f>IF(Таблица16[[#This Row],[Столбец1]]="","",INDEX(Лист2!$A$8:$O$179,MATCH(A19,Лист2!$B$8:$B$179,0),3))</f>
        <v/>
      </c>
      <c r="C19" s="56" t="str">
        <f>IF(Таблица16[[#This Row],[Столбец1]]="","",INDEX(Лист2!$A$8:$O$179,MATCH(A19,Лист2!$B$8:$B$179,0),4))</f>
        <v/>
      </c>
      <c r="D19" s="55" t="str">
        <f>IF(Таблица16[[#This Row],[Столбец1]]="","",INDEX(Лист2!$A$8:$O$179,MATCH(A19,Лист2!$B$8:$B$179,0),5))</f>
        <v/>
      </c>
      <c r="E19" s="57" t="str">
        <f>IF(Таблица16[[#This Row],[Столбец1]]="","",INDEX(Лист2!$A$8:$O$179,MATCH(A19,Лист2!$B$8:$B$179,0),6))</f>
        <v/>
      </c>
      <c r="F19" s="57" t="str">
        <f>IF(Таблица16[[#This Row],[Столбец1]]="","",INDEX(Лист2!$A$8:$O$179,MATCH(A19,Лист2!$B$8:$B$179,0),7))</f>
        <v/>
      </c>
      <c r="G19" s="57" t="str">
        <f>IF(Таблица16[[#This Row],[Столбец1]]="","",INDEX(Лист2!$A$8:$O$179,MATCH(A19,Лист2!$B$8:$B$179,0),8))</f>
        <v/>
      </c>
      <c r="H19" s="56" t="str">
        <f>IF(OR(Таблица16[[#This Row],[Столбец1]]="",Таблица16[[#This Row],[Столбец4]]="отсутствует"),"",INDEX(Лист2!$A$8:$O$179,MATCH(A19,Лист2!$B$8:$B$179,0),9))</f>
        <v/>
      </c>
      <c r="I19" s="55" t="str">
        <f>IF(OR(Таблица16[[#This Row],[Столбец1]]="",Таблица16[[#This Row],[Столбец4]]="отсутствует"),"",INDEX(Лист2!$A$8:$O$179,MATCH(A19,Лист2!$B$8:$B$179,0),10))</f>
        <v/>
      </c>
      <c r="J19" s="55" t="str">
        <f>IF(OR(Таблица16[[#This Row],[Столбец1]]="",Таблица16[[#This Row],[Столбец4]]="отсутствует"),"",INDEX(Лист2!$A$8:$O$179,MATCH(A19,Лист2!$B$8:$B$179,0),11))</f>
        <v/>
      </c>
      <c r="K19" s="55" t="str">
        <f>IF(OR(Таблица16[[#This Row],[Столбец1]]="",Таблица16[[#This Row],[Столбец4]]="отсутствует"),"",INDEX(Лист2!$A$8:$O$179,MATCH(A19,Лист2!$B$8:$B$179,0),12))</f>
        <v/>
      </c>
      <c r="L19" s="55" t="str">
        <f>IF(OR(Таблица16[[#This Row],[Столбец1]]="",Таблица16[[#This Row],[Столбец4]]="отсутствует"),"",INDEX(Лист2!$A$8:$O$179,MATCH(A19,Лист2!$B$8:$B$179,0),13))</f>
        <v/>
      </c>
      <c r="M19" s="55" t="str">
        <f>IF(OR(Таблица16[[#This Row],[Столбец1]]="",Таблица16[[#This Row],[Столбец4]]="отсутствует"),"",INDEX(Лист2!$A$8:$O$179,MATCH(A19,Лист2!$B$8:$B$179,0),14))</f>
        <v/>
      </c>
      <c r="N19" s="56" t="str">
        <f>IF(Таблица16[[#This Row],[Столбец1]]="","",IF(INDEX(Лист2!$A$8:$O$179,MATCH(A19,Лист2!$B$8:$B$179,0),15)=0,"",INDEX(Лист2!$A$8:$O$179,MATCH(A19,Лист2!$B$8:$B$179,0),15)))</f>
        <v/>
      </c>
      <c r="O19" s="58"/>
    </row>
    <row r="20" ht="15">
      <c r="A20" s="55"/>
      <c r="B20" s="55" t="str">
        <f>IF(Таблица16[[#This Row],[Столбец1]]="","",INDEX('Лист2'!$A$8:$O$179,MATCH(A20,'Лист2'!$B$8:$B$179,0),3))</f>
        <v/>
      </c>
      <c r="C20" s="56" t="str">
        <f>IF(Таблица16[[#This Row],[Столбец1]]="","",INDEX('Лист2'!$A$8:$O$179,MATCH(A20,'Лист2'!$B$8:$B$179,0),4))</f>
        <v/>
      </c>
      <c r="D20" s="55" t="str">
        <f>IF(Таблица16[[#This Row],[Столбец1]]="","",INDEX('Лист2'!$A$8:$O$179,MATCH(A20,'Лист2'!$B$8:$B$179,0),5))</f>
        <v/>
      </c>
      <c r="E20" s="57" t="str">
        <f>IF(Таблица16[[#This Row],[Столбец1]]="","",INDEX('Лист2'!$A$8:$O$179,MATCH(A20,'Лист2'!$B$8:$B$179,0),6))</f>
        <v/>
      </c>
      <c r="F20" s="57" t="str">
        <f>IF(Таблица16[[#This Row],[Столбец1]]="","",INDEX('Лист2'!$A$8:$O$179,MATCH(A20,'Лист2'!$B$8:$B$179,0),7))</f>
        <v/>
      </c>
      <c r="G20" s="57" t="str">
        <f>IF(Таблица16[[#This Row],[Столбец1]]="","",INDEX('Лист2'!$A$8:$O$179,MATCH(A20,'Лист2'!$B$8:$B$179,0),8))</f>
        <v/>
      </c>
      <c r="H20" s="56" t="str">
        <f>IF(OR(Таблица16[[#This Row],[Столбец1]]="",Таблица16[[#This Row],[Столбец4]]="отсутствует"),"",INDEX('Лист2'!$A$8:$O$179,MATCH(A20,'Лист2'!$B$8:$B$179,0),9))</f>
        <v/>
      </c>
      <c r="I20" s="55" t="str">
        <f>IF(OR(Таблица16[[#This Row],[Столбец1]]="",Таблица16[[#This Row],[Столбец4]]="отсутствует"),"",INDEX('Лист2'!$A$8:$O$179,MATCH(A20,'Лист2'!$B$8:$B$179,0),10))</f>
        <v/>
      </c>
      <c r="J20" s="55" t="str">
        <f>IF(OR(Таблица16[[#This Row],[Столбец1]]="",Таблица16[[#This Row],[Столбец4]]="отсутствует"),"",INDEX('Лист2'!$A$8:$O$179,MATCH(A20,'Лист2'!$B$8:$B$179,0),11))</f>
        <v/>
      </c>
      <c r="K20" s="55" t="str">
        <f>IF(OR(Таблица16[[#This Row],[Столбец1]]="",Таблица16[[#This Row],[Столбец4]]="отсутствует"),"",INDEX('Лист2'!$A$8:$O$179,MATCH(A20,'Лист2'!$B$8:$B$179,0),12))</f>
        <v/>
      </c>
      <c r="L20" s="55" t="str">
        <f>IF(OR(Таблица16[[#This Row],[Столбец1]]="",Таблица16[[#This Row],[Столбец4]]="отсутствует"),"",INDEX('Лист2'!$A$8:$O$179,MATCH(A20,'Лист2'!$B$8:$B$179,0),13))</f>
        <v/>
      </c>
      <c r="M20" s="55" t="str">
        <f>IF(OR(Таблица16[[#This Row],[Столбец1]]="",Таблица16[[#This Row],[Столбец4]]="отсутствует"),"",INDEX('Лист2'!$A$8:$O$179,MATCH(A20,'Лист2'!$B$8:$B$179,0),14))</f>
        <v/>
      </c>
      <c r="N20" s="56" t="str">
        <f>IF(Таблица16[[#This Row],[Столбец1]]="","",IF(INDEX('Лист2'!$A$8:$O$179,MATCH(A20,'Лист2'!$B$8:$B$179,0),15)=0,"",INDEX('Лист2'!$A$8:$O$179,MATCH(A20,'Лист2'!$B$8:$B$179,0),15)))</f>
        <v/>
      </c>
      <c r="O20" s="58"/>
    </row>
    <row r="21" ht="15">
      <c r="A21" s="55"/>
      <c r="B21" s="55" t="str">
        <f>IF(Таблица16[[#This Row],[Столбец1]]="","",INDEX('Лист2'!$A$8:$O$179,MATCH(A21,'Лист2'!$B$8:$B$179,0),3))</f>
        <v/>
      </c>
      <c r="C21" s="56" t="str">
        <f>IF(Таблица16[[#This Row],[Столбец1]]="","",INDEX('Лист2'!$A$8:$O$179,MATCH(A21,'Лист2'!$B$8:$B$179,0),4))</f>
        <v/>
      </c>
      <c r="D21" s="55" t="str">
        <f>IF(Таблица16[[#This Row],[Столбец1]]="","",INDEX('Лист2'!$A$8:$O$179,MATCH(A21,'Лист2'!$B$8:$B$179,0),5))</f>
        <v/>
      </c>
      <c r="E21" s="57" t="str">
        <f>IF(Таблица16[[#This Row],[Столбец1]]="","",INDEX('Лист2'!$A$8:$O$179,MATCH(A21,'Лист2'!$B$8:$B$179,0),6))</f>
        <v/>
      </c>
      <c r="F21" s="57" t="str">
        <f>IF(Таблица16[[#This Row],[Столбец1]]="","",INDEX('Лист2'!$A$8:$O$179,MATCH(A21,'Лист2'!$B$8:$B$179,0),7))</f>
        <v/>
      </c>
      <c r="G21" s="57" t="str">
        <f>IF(Таблица16[[#This Row],[Столбец1]]="","",INDEX('Лист2'!$A$8:$O$179,MATCH(A21,'Лист2'!$B$8:$B$179,0),8))</f>
        <v/>
      </c>
      <c r="H21" s="56" t="str">
        <f>IF(OR(Таблица16[[#This Row],[Столбец1]]="",Таблица16[[#This Row],[Столбец4]]="отсутствует"),"",INDEX('Лист2'!$A$8:$O$179,MATCH(A21,'Лист2'!$B$8:$B$179,0),9))</f>
        <v/>
      </c>
      <c r="I21" s="55" t="str">
        <f>IF(OR(Таблица16[[#This Row],[Столбец1]]="",Таблица16[[#This Row],[Столбец4]]="отсутствует"),"",INDEX('Лист2'!$A$8:$O$179,MATCH(A21,'Лист2'!$B$8:$B$179,0),10))</f>
        <v/>
      </c>
      <c r="J21" s="55" t="str">
        <f>IF(OR(Таблица16[[#This Row],[Столбец1]]="",Таблица16[[#This Row],[Столбец4]]="отсутствует"),"",INDEX('Лист2'!$A$8:$O$179,MATCH(A21,'Лист2'!$B$8:$B$179,0),11))</f>
        <v/>
      </c>
      <c r="K21" s="55" t="str">
        <f>IF(OR(Таблица16[[#This Row],[Столбец1]]="",Таблица16[[#This Row],[Столбец4]]="отсутствует"),"",INDEX('Лист2'!$A$8:$O$179,MATCH(A21,'Лист2'!$B$8:$B$179,0),12))</f>
        <v/>
      </c>
      <c r="L21" s="55" t="str">
        <f>IF(OR(Таблица16[[#This Row],[Столбец1]]="",Таблица16[[#This Row],[Столбец4]]="отсутствует"),"",INDEX('Лист2'!$A$8:$O$179,MATCH(A21,'Лист2'!$B$8:$B$179,0),13))</f>
        <v/>
      </c>
      <c r="M21" s="55" t="str">
        <f>IF(OR(Таблица16[[#This Row],[Столбец1]]="",Таблица16[[#This Row],[Столбец4]]="отсутствует"),"",INDEX('Лист2'!$A$8:$O$179,MATCH(A21,'Лист2'!$B$8:$B$179,0),14))</f>
        <v/>
      </c>
      <c r="N21" s="56" t="str">
        <f>IF(Таблица16[[#This Row],[Столбец1]]="","",IF(INDEX('Лист2'!$A$8:$O$179,MATCH(A21,'Лист2'!$B$8:$B$179,0),15)=0,"",INDEX('Лист2'!$A$8:$O$179,MATCH(A21,'Лист2'!$B$8:$B$179,0),15)))</f>
        <v/>
      </c>
      <c r="O21" s="58"/>
    </row>
    <row r="22" ht="15">
      <c r="A22" s="55"/>
      <c r="B22" s="55" t="str">
        <f>IF(Таблица16[[#This Row],[Столбец1]]="","",INDEX('Лист2'!$A$8:$O$179,MATCH(A22,'Лист2'!$B$8:$B$179,0),3))</f>
        <v/>
      </c>
      <c r="C22" s="56" t="str">
        <f>IF(Таблица16[[#This Row],[Столбец1]]="","",INDEX('Лист2'!$A$8:$O$179,MATCH(A22,'Лист2'!$B$8:$B$179,0),4))</f>
        <v/>
      </c>
      <c r="D22" s="55" t="str">
        <f>IF(Таблица16[[#This Row],[Столбец1]]="","",INDEX('Лист2'!$A$8:$O$179,MATCH(A22,'Лист2'!$B$8:$B$179,0),5))</f>
        <v/>
      </c>
      <c r="E22" s="57" t="str">
        <f>IF(Таблица16[[#This Row],[Столбец1]]="","",INDEX('Лист2'!$A$8:$O$179,MATCH(A22,'Лист2'!$B$8:$B$179,0),6))</f>
        <v/>
      </c>
      <c r="F22" s="57" t="str">
        <f>IF(Таблица16[[#This Row],[Столбец1]]="","",INDEX('Лист2'!$A$8:$O$179,MATCH(A22,'Лист2'!$B$8:$B$179,0),7))</f>
        <v/>
      </c>
      <c r="G22" s="57" t="str">
        <f>IF(Таблица16[[#This Row],[Столбец1]]="","",INDEX('Лист2'!$A$8:$O$179,MATCH(A22,'Лист2'!$B$8:$B$179,0),8))</f>
        <v/>
      </c>
      <c r="H22" s="56" t="str">
        <f>IF(OR(Таблица16[[#This Row],[Столбец1]]="",Таблица16[[#This Row],[Столбец4]]="отсутствует"),"",INDEX('Лист2'!$A$8:$O$179,MATCH(A22,'Лист2'!$B$8:$B$179,0),9))</f>
        <v/>
      </c>
      <c r="I22" s="55" t="str">
        <f>IF(OR(Таблица16[[#This Row],[Столбец1]]="",Таблица16[[#This Row],[Столбец4]]="отсутствует"),"",INDEX('Лист2'!$A$8:$O$179,MATCH(A22,'Лист2'!$B$8:$B$179,0),10))</f>
        <v/>
      </c>
      <c r="J22" s="55" t="str">
        <f>IF(OR(Таблица16[[#This Row],[Столбец1]]="",Таблица16[[#This Row],[Столбец4]]="отсутствует"),"",INDEX('Лист2'!$A$8:$O$179,MATCH(A22,'Лист2'!$B$8:$B$179,0),11))</f>
        <v/>
      </c>
      <c r="K22" s="55" t="str">
        <f>IF(OR(Таблица16[[#This Row],[Столбец1]]="",Таблица16[[#This Row],[Столбец4]]="отсутствует"),"",INDEX('Лист2'!$A$8:$O$179,MATCH(A22,'Лист2'!$B$8:$B$179,0),12))</f>
        <v/>
      </c>
      <c r="L22" s="55" t="str">
        <f>IF(OR(Таблица16[[#This Row],[Столбец1]]="",Таблица16[[#This Row],[Столбец4]]="отсутствует"),"",INDEX('Лист2'!$A$8:$O$179,MATCH(A22,'Лист2'!$B$8:$B$179,0),13))</f>
        <v/>
      </c>
      <c r="M22" s="55" t="str">
        <f>IF(OR(Таблица16[[#This Row],[Столбец1]]="",Таблица16[[#This Row],[Столбец4]]="отсутствует"),"",INDEX('Лист2'!$A$8:$O$179,MATCH(A22,'Лист2'!$B$8:$B$179,0),14))</f>
        <v/>
      </c>
      <c r="N22" s="56" t="str">
        <f>IF(Таблица16[[#This Row],[Столбец1]]="","",IF(INDEX('Лист2'!$A$8:$O$179,MATCH(A22,'Лист2'!$B$8:$B$179,0),15)=0,"",INDEX('Лист2'!$A$8:$O$179,MATCH(A22,'Лист2'!$B$8:$B$179,0),15)))</f>
        <v/>
      </c>
      <c r="O22" s="58"/>
    </row>
    <row r="23" ht="15">
      <c r="A23" s="55"/>
      <c r="B23" s="55" t="str">
        <f>IF(Таблица16[[#This Row],[Столбец1]]="","",INDEX('Лист2'!$A$8:$O$179,MATCH(A23,'Лист2'!$B$8:$B$179,0),3))</f>
        <v/>
      </c>
      <c r="C23" s="56" t="str">
        <f>IF(Таблица16[[#This Row],[Столбец1]]="","",INDEX('Лист2'!$A$8:$O$179,MATCH(A23,'Лист2'!$B$8:$B$179,0),4))</f>
        <v/>
      </c>
      <c r="D23" s="55" t="str">
        <f>IF(Таблица16[[#This Row],[Столбец1]]="","",INDEX('Лист2'!$A$8:$O$179,MATCH(A23,'Лист2'!$B$8:$B$179,0),5))</f>
        <v/>
      </c>
      <c r="E23" s="57" t="str">
        <f>IF(Таблица16[[#This Row],[Столбец1]]="","",INDEX('Лист2'!$A$8:$O$179,MATCH(A23,'Лист2'!$B$8:$B$179,0),6))</f>
        <v/>
      </c>
      <c r="F23" s="57" t="str">
        <f>IF(Таблица16[[#This Row],[Столбец1]]="","",INDEX('Лист2'!$A$8:$O$179,MATCH(A23,'Лист2'!$B$8:$B$179,0),7))</f>
        <v/>
      </c>
      <c r="G23" s="57" t="str">
        <f>IF(Таблица16[[#This Row],[Столбец1]]="","",INDEX('Лист2'!$A$8:$O$179,MATCH(A23,'Лист2'!$B$8:$B$179,0),8))</f>
        <v/>
      </c>
      <c r="H23" s="56" t="str">
        <f>IF(OR(Таблица16[[#This Row],[Столбец1]]="",Таблица16[[#This Row],[Столбец4]]="отсутствует"),"",INDEX('Лист2'!$A$8:$O$179,MATCH(A23,'Лист2'!$B$8:$B$179,0),9))</f>
        <v/>
      </c>
      <c r="I23" s="55" t="str">
        <f>IF(OR(Таблица16[[#This Row],[Столбец1]]="",Таблица16[[#This Row],[Столбец4]]="отсутствует"),"",INDEX('Лист2'!$A$8:$O$179,MATCH(A23,'Лист2'!$B$8:$B$179,0),10))</f>
        <v/>
      </c>
      <c r="J23" s="55" t="str">
        <f>IF(OR(Таблица16[[#This Row],[Столбец1]]="",Таблица16[[#This Row],[Столбец4]]="отсутствует"),"",INDEX('Лист2'!$A$8:$O$179,MATCH(A23,'Лист2'!$B$8:$B$179,0),11))</f>
        <v/>
      </c>
      <c r="K23" s="55" t="str">
        <f>IF(OR(Таблица16[[#This Row],[Столбец1]]="",Таблица16[[#This Row],[Столбец4]]="отсутствует"),"",INDEX('Лист2'!$A$8:$O$179,MATCH(A23,'Лист2'!$B$8:$B$179,0),12))</f>
        <v/>
      </c>
      <c r="L23" s="55" t="str">
        <f>IF(OR(Таблица16[[#This Row],[Столбец1]]="",Таблица16[[#This Row],[Столбец4]]="отсутствует"),"",INDEX('Лист2'!$A$8:$O$179,MATCH(A23,'Лист2'!$B$8:$B$179,0),13))</f>
        <v/>
      </c>
      <c r="M23" s="55" t="str">
        <f>IF(OR(Таблица16[[#This Row],[Столбец1]]="",Таблица16[[#This Row],[Столбец4]]="отсутствует"),"",INDEX('Лист2'!$A$8:$O$179,MATCH(A23,'Лист2'!$B$8:$B$179,0),14))</f>
        <v/>
      </c>
      <c r="N23" s="56" t="str">
        <f>IF(Таблица16[[#This Row],[Столбец1]]="","",IF(INDEX('Лист2'!$A$8:$O$179,MATCH(A23,'Лист2'!$B$8:$B$179,0),15)=0,"",INDEX('Лист2'!$A$8:$O$179,MATCH(A23,'Лист2'!$B$8:$B$179,0),15)))</f>
        <v/>
      </c>
      <c r="O23" s="58"/>
    </row>
    <row r="24" ht="15">
      <c r="A24" s="55"/>
      <c r="B24" s="55" t="str">
        <f>IF(Таблица16[[#This Row],[Столбец1]]="","",INDEX('Лист2'!$A$8:$O$179,MATCH(A24,'Лист2'!$B$8:$B$179,0),3))</f>
        <v/>
      </c>
      <c r="C24" s="56" t="str">
        <f>IF(Таблица16[[#This Row],[Столбец1]]="","",INDEX('Лист2'!$A$8:$O$179,MATCH(A24,'Лист2'!$B$8:$B$179,0),4))</f>
        <v/>
      </c>
      <c r="D24" s="55" t="str">
        <f>IF(Таблица16[[#This Row],[Столбец1]]="","",INDEX('Лист2'!$A$8:$O$179,MATCH(A24,'Лист2'!$B$8:$B$179,0),5))</f>
        <v/>
      </c>
      <c r="E24" s="57" t="str">
        <f>IF(Таблица16[[#This Row],[Столбец1]]="","",INDEX('Лист2'!$A$8:$O$179,MATCH(A24,'Лист2'!$B$8:$B$179,0),6))</f>
        <v/>
      </c>
      <c r="F24" s="57" t="str">
        <f>IF(Таблица16[[#This Row],[Столбец1]]="","",INDEX('Лист2'!$A$8:$O$179,MATCH(A24,'Лист2'!$B$8:$B$179,0),7))</f>
        <v/>
      </c>
      <c r="G24" s="57" t="str">
        <f>IF(Таблица16[[#This Row],[Столбец1]]="","",INDEX('Лист2'!$A$8:$O$179,MATCH(A24,'Лист2'!$B$8:$B$179,0),8))</f>
        <v/>
      </c>
      <c r="H24" s="56" t="str">
        <f>IF(OR(Таблица16[[#This Row],[Столбец1]]="",Таблица16[[#This Row],[Столбец4]]="отсутствует"),"",INDEX('Лист2'!$A$8:$O$179,MATCH(A24,'Лист2'!$B$8:$B$179,0),9))</f>
        <v/>
      </c>
      <c r="I24" s="55" t="str">
        <f>IF(OR(Таблица16[[#This Row],[Столбец1]]="",Таблица16[[#This Row],[Столбец4]]="отсутствует"),"",INDEX('Лист2'!$A$8:$O$179,MATCH(A24,'Лист2'!$B$8:$B$179,0),10))</f>
        <v/>
      </c>
      <c r="J24" s="55" t="str">
        <f>IF(OR(Таблица16[[#This Row],[Столбец1]]="",Таблица16[[#This Row],[Столбец4]]="отсутствует"),"",INDEX('Лист2'!$A$8:$O$179,MATCH(A24,'Лист2'!$B$8:$B$179,0),11))</f>
        <v/>
      </c>
      <c r="K24" s="55" t="str">
        <f>IF(OR(Таблица16[[#This Row],[Столбец1]]="",Таблица16[[#This Row],[Столбец4]]="отсутствует"),"",INDEX('Лист2'!$A$8:$O$179,MATCH(A24,'Лист2'!$B$8:$B$179,0),12))</f>
        <v/>
      </c>
      <c r="L24" s="55" t="str">
        <f>IF(OR(Таблица16[[#This Row],[Столбец1]]="",Таблица16[[#This Row],[Столбец4]]="отсутствует"),"",INDEX('Лист2'!$A$8:$O$179,MATCH(A24,'Лист2'!$B$8:$B$179,0),13))</f>
        <v/>
      </c>
      <c r="M24" s="55" t="str">
        <f>IF(OR(Таблица16[[#This Row],[Столбец1]]="",Таблица16[[#This Row],[Столбец4]]="отсутствует"),"",INDEX('Лист2'!$A$8:$O$179,MATCH(A24,'Лист2'!$B$8:$B$179,0),14))</f>
        <v/>
      </c>
      <c r="N24" s="56" t="str">
        <f>IF(Таблица16[[#This Row],[Столбец1]]="","",IF(INDEX('Лист2'!$A$8:$O$179,MATCH(A24,'Лист2'!$B$8:$B$179,0),15)=0,"",INDEX('Лист2'!$A$8:$O$179,MATCH(A24,'Лист2'!$B$8:$B$179,0),15)))</f>
        <v/>
      </c>
      <c r="O24" s="58"/>
    </row>
    <row r="25" ht="15">
      <c r="A25" s="55"/>
      <c r="B25" s="55" t="str">
        <f>IF(Таблица16[[#This Row],[Столбец1]]="","",INDEX('Лист2'!$A$8:$O$179,MATCH(A25,'Лист2'!$B$8:$B$179,0),3))</f>
        <v/>
      </c>
      <c r="C25" s="56" t="str">
        <f>IF(Таблица16[[#This Row],[Столбец1]]="","",INDEX('Лист2'!$A$8:$O$179,MATCH(A25,'Лист2'!$B$8:$B$179,0),4))</f>
        <v/>
      </c>
      <c r="D25" s="55" t="str">
        <f>IF(Таблица16[[#This Row],[Столбец1]]="","",INDEX('Лист2'!$A$8:$O$179,MATCH(A25,'Лист2'!$B$8:$B$179,0),5))</f>
        <v/>
      </c>
      <c r="E25" s="57" t="str">
        <f>IF(Таблица16[[#This Row],[Столбец1]]="","",INDEX('Лист2'!$A$8:$O$179,MATCH(A25,'Лист2'!$B$8:$B$179,0),6))</f>
        <v/>
      </c>
      <c r="F25" s="57" t="str">
        <f>IF(Таблица16[[#This Row],[Столбец1]]="","",INDEX('Лист2'!$A$8:$O$179,MATCH(A25,'Лист2'!$B$8:$B$179,0),7))</f>
        <v/>
      </c>
      <c r="G25" s="57" t="str">
        <f>IF(Таблица16[[#This Row],[Столбец1]]="","",INDEX('Лист2'!$A$8:$O$179,MATCH(A25,'Лист2'!$B$8:$B$179,0),8))</f>
        <v/>
      </c>
      <c r="H25" s="56" t="str">
        <f>IF(OR(Таблица16[[#This Row],[Столбец1]]="",Таблица16[[#This Row],[Столбец4]]="отсутствует"),"",INDEX('Лист2'!$A$8:$O$179,MATCH(A25,'Лист2'!$B$8:$B$179,0),9))</f>
        <v/>
      </c>
      <c r="I25" s="55" t="str">
        <f>IF(OR(Таблица16[[#This Row],[Столбец1]]="",Таблица16[[#This Row],[Столбец4]]="отсутствует"),"",INDEX('Лист2'!$A$8:$O$179,MATCH(A25,'Лист2'!$B$8:$B$179,0),10))</f>
        <v/>
      </c>
      <c r="J25" s="55" t="str">
        <f>IF(OR(Таблица16[[#This Row],[Столбец1]]="",Таблица16[[#This Row],[Столбец4]]="отсутствует"),"",INDEX('Лист2'!$A$8:$O$179,MATCH(A25,'Лист2'!$B$8:$B$179,0),11))</f>
        <v/>
      </c>
      <c r="K25" s="55" t="str">
        <f>IF(OR(Таблица16[[#This Row],[Столбец1]]="",Таблица16[[#This Row],[Столбец4]]="отсутствует"),"",INDEX('Лист2'!$A$8:$O$179,MATCH(A25,'Лист2'!$B$8:$B$179,0),12))</f>
        <v/>
      </c>
      <c r="L25" s="55" t="str">
        <f>IF(OR(Таблица16[[#This Row],[Столбец1]]="",Таблица16[[#This Row],[Столбец4]]="отсутствует"),"",INDEX('Лист2'!$A$8:$O$179,MATCH(A25,'Лист2'!$B$8:$B$179,0),13))</f>
        <v/>
      </c>
      <c r="M25" s="55" t="str">
        <f>IF(OR(Таблица16[[#This Row],[Столбец1]]="",Таблица16[[#This Row],[Столбец4]]="отсутствует"),"",INDEX('Лист2'!$A$8:$O$179,MATCH(A25,'Лист2'!$B$8:$B$179,0),14))</f>
        <v/>
      </c>
      <c r="N25" s="56" t="str">
        <f>IF(Таблица16[[#This Row],[Столбец1]]="","",IF(INDEX('Лист2'!$A$8:$O$179,MATCH(A25,'Лист2'!$B$8:$B$179,0),15)=0,"",INDEX('Лист2'!$A$8:$O$179,MATCH(A25,'Лист2'!$B$8:$B$179,0),15)))</f>
        <v/>
      </c>
      <c r="O25" s="58"/>
    </row>
    <row r="26" ht="15">
      <c r="A26" s="59" t="s">
        <v>186</v>
      </c>
      <c r="B26" s="59"/>
      <c r="C26" s="59"/>
      <c r="D26" s="59"/>
      <c r="E26" s="60">
        <f>SUBTOTAL(109,Таблица16[[#All],[Столбец5]])</f>
        <v>0</v>
      </c>
      <c r="F26" s="60">
        <f>SUBTOTAL(109,Таблица16[[#All],[Столбец6]])</f>
        <v>0</v>
      </c>
      <c r="G26" s="60">
        <f>SUM(Таблица16[[#All],[Столбец7]])</f>
        <v>0</v>
      </c>
      <c r="H26" s="59"/>
      <c r="I26" s="61"/>
      <c r="J26" s="61"/>
      <c r="K26" s="61"/>
      <c r="L26" s="61"/>
      <c r="M26" s="61"/>
      <c r="N26" s="61"/>
      <c r="O26" s="58"/>
    </row>
    <row r="27" ht="15">
      <c r="A27" s="55"/>
      <c r="B27" s="55" t="str">
        <f>IF(Таблица17[[#This Row],[Столбец1]]="","",INDEX(Лист2!$A$8:$O$179,MATCH(A27,Лист2!$B$8:$B$179,0),3))</f>
        <v/>
      </c>
      <c r="C27" s="56" t="str">
        <f>IF(Таблица17[[#This Row],[Столбец1]]="","",INDEX(Лист2!$A$8:$O$179,MATCH(A27,Лист2!$B$8:$B$179,0),4))</f>
        <v/>
      </c>
      <c r="D27" s="55" t="str">
        <f>IF(Таблица17[[#This Row],[Столбец1]]="","",INDEX(Лист2!$A$8:$O$179,MATCH(A27,Лист2!$B$8:$B$179,0),5))</f>
        <v/>
      </c>
      <c r="E27" s="57" t="str">
        <f>IF(Таблица17[[#This Row],[Столбец1]]="","",INDEX(Лист2!$A$8:$O$179,MATCH(A27,Лист2!$B$8:$B$179,0),6))</f>
        <v/>
      </c>
      <c r="F27" s="57" t="str">
        <f>IF(Таблица17[[#This Row],[Столбец1]]="","",INDEX(Лист2!$A$8:$O$179,MATCH(A27,Лист2!$B$8:$B$179,0),7))</f>
        <v/>
      </c>
      <c r="G27" s="57" t="str">
        <f>IF(Таблица17[[#This Row],[Столбец1]]="","",INDEX(Лист2!$A$8:$O$179,MATCH(A27,Лист2!$B$8:$B$179,0),8))</f>
        <v/>
      </c>
      <c r="H27" s="56" t="str">
        <f>IF(OR(Таблица17[[#This Row],[Столбец1]]="",Таблица17[[#This Row],[Столбец4]]="отсутствует"),"",INDEX(Лист2!$A$8:$O$179,MATCH(A27,Лист2!$B$8:$B$179,0),9))</f>
        <v/>
      </c>
      <c r="I27" s="55" t="str">
        <f>IF(OR(Таблица17[[#This Row],[Столбец1]]="",Таблица17[[#This Row],[Столбец4]]="отсутствует"),"",INDEX(Лист2!$A$8:$O$179,MATCH(A27,Лист2!$B$8:$B$179,0),10))</f>
        <v/>
      </c>
      <c r="J27" s="55" t="str">
        <f>IF(OR(Таблица17[[#This Row],[Столбец1]]="",Таблица17[[#This Row],[Столбец4]]="отсутствует"),"",INDEX(Лист2!$A$8:$O$179,MATCH(A27,Лист2!$B$8:$B$179,0),11))</f>
        <v/>
      </c>
      <c r="K27" s="55" t="str">
        <f>IF(OR(Таблица17[[#This Row],[Столбец1]]="",Таблица17[[#This Row],[Столбец4]]="отсутствует"),"",INDEX(Лист2!$A$8:$O$179,MATCH(A27,Лист2!$B$8:$B$179,0),12))</f>
        <v/>
      </c>
      <c r="L27" s="55" t="str">
        <f>IF(OR(Таблица17[[#This Row],[Столбец1]]="",Таблица17[[#This Row],[Столбец4]]="отсутствует"),"",INDEX(Лист2!$A$8:$O$179,MATCH(A27,Лист2!$B$8:$B$179,0),13))</f>
        <v/>
      </c>
      <c r="M27" s="55" t="str">
        <f>IF(OR(Таблица17[[#This Row],[Столбец1]]="",Таблица17[[#This Row],[Столбец4]]="отсутствует"),"",INDEX(Лист2!$A$8:$O$179,MATCH(A27,Лист2!$B$8:$B$179,0),14))</f>
        <v/>
      </c>
      <c r="N27" s="56" t="str">
        <f>IF(Таблица17[[#This Row],[Столбец1]]="","",IF(INDEX(Лист2!$A$8:$O$179,MATCH(A27,Лист2!$B$8:$B$179,0),15)=0,"",INDEX(Лист2!$A$8:$O$179,MATCH(A27,Лист2!$B$8:$B$179,0),15)))</f>
        <v/>
      </c>
      <c r="O27" s="58"/>
    </row>
    <row r="28" ht="18.75" customHeight="1">
      <c r="A28" s="55"/>
      <c r="B28" s="55" t="str">
        <f>IF(Таблица17[[#This Row],[Столбец1]]="","",INDEX('Лист2'!$A$8:$O$179,MATCH(A28,'Лист2'!$B$8:$B$179,0),3))</f>
        <v/>
      </c>
      <c r="C28" s="56" t="str">
        <f>IF(Таблица17[[#This Row],[Столбец1]]="","",INDEX('Лист2'!$A$8:$O$179,MATCH(A28,'Лист2'!$B$8:$B$179,0),4))</f>
        <v/>
      </c>
      <c r="D28" s="55" t="str">
        <f>IF(Таблица17[[#This Row],[Столбец1]]="","",INDEX('Лист2'!$A$8:$O$179,MATCH(A28,'Лист2'!$B$8:$B$179,0),5))</f>
        <v/>
      </c>
      <c r="E28" s="57" t="str">
        <f>IF(Таблица17[[#This Row],[Столбец1]]="","",INDEX('Лист2'!$A$8:$O$179,MATCH(A28,'Лист2'!$B$8:$B$179,0),6))</f>
        <v/>
      </c>
      <c r="F28" s="57" t="str">
        <f>IF(Таблица17[[#This Row],[Столбец1]]="","",INDEX('Лист2'!$A$8:$O$179,MATCH(A28,'Лист2'!$B$8:$B$179,0),7))</f>
        <v/>
      </c>
      <c r="G28" s="57" t="str">
        <f>IF(Таблица17[[#This Row],[Столбец1]]="","",INDEX('Лист2'!$A$8:$O$179,MATCH(A28,'Лист2'!$B$8:$B$179,0),8))</f>
        <v/>
      </c>
      <c r="H28" s="56" t="str">
        <f>IF(OR(Таблица17[[#This Row],[Столбец1]]="",Таблица17[[#This Row],[Столбец4]]="отсутствует"),"",INDEX('Лист2'!$A$8:$O$179,MATCH(A28,'Лист2'!$B$8:$B$179,0),9))</f>
        <v/>
      </c>
      <c r="I28" s="55" t="str">
        <f>IF(OR(Таблица17[[#This Row],[Столбец1]]="",Таблица17[[#This Row],[Столбец4]]="отсутствует"),"",INDEX('Лист2'!$A$8:$O$179,MATCH(A28,'Лист2'!$B$8:$B$179,0),10))</f>
        <v/>
      </c>
      <c r="J28" s="55" t="str">
        <f>IF(OR(Таблица17[[#This Row],[Столбец1]]="",Таблица17[[#This Row],[Столбец4]]="отсутствует"),"",INDEX('Лист2'!$A$8:$O$179,MATCH(A28,'Лист2'!$B$8:$B$179,0),11))</f>
        <v/>
      </c>
      <c r="K28" s="55" t="str">
        <f>IF(OR(Таблица17[[#This Row],[Столбец1]]="",Таблица17[[#This Row],[Столбец4]]="отсутствует"),"",INDEX('Лист2'!$A$8:$O$179,MATCH(A28,'Лист2'!$B$8:$B$179,0),12))</f>
        <v/>
      </c>
      <c r="L28" s="55" t="str">
        <f>IF(OR(Таблица17[[#This Row],[Столбец1]]="",Таблица17[[#This Row],[Столбец4]]="отсутствует"),"",INDEX('Лист2'!$A$8:$O$179,MATCH(A28,'Лист2'!$B$8:$B$179,0),13))</f>
        <v/>
      </c>
      <c r="M28" s="55" t="str">
        <f>IF(OR(Таблица17[[#This Row],[Столбец1]]="",Таблица17[[#This Row],[Столбец4]]="отсутствует"),"",INDEX('Лист2'!$A$8:$O$179,MATCH(A28,'Лист2'!$B$8:$B$179,0),14))</f>
        <v/>
      </c>
      <c r="N28" s="56" t="str">
        <f>IF(Таблица17[[#This Row],[Столбец1]]="","",IF(INDEX('Лист2'!$A$8:$O$179,MATCH(A28,'Лист2'!$B$8:$B$179,0),15)=0,"",INDEX('Лист2'!$A$8:$O$179,MATCH(A28,'Лист2'!$B$8:$B$179,0),15)))</f>
        <v/>
      </c>
      <c r="O28" s="58"/>
    </row>
    <row r="29" ht="15">
      <c r="A29" s="55"/>
      <c r="B29" s="55" t="str">
        <f>IF(Таблица17[[#This Row],[Столбец1]]="","",INDEX('Лист2'!$A$8:$O$179,MATCH(A29,'Лист2'!$B$8:$B$179,0),3))</f>
        <v/>
      </c>
      <c r="C29" s="56" t="str">
        <f>IF(Таблица17[[#This Row],[Столбец1]]="","",INDEX('Лист2'!$A$8:$O$179,MATCH(A29,'Лист2'!$B$8:$B$179,0),4))</f>
        <v/>
      </c>
      <c r="D29" s="55" t="str">
        <f>IF(Таблица17[[#This Row],[Столбец1]]="","",INDEX('Лист2'!$A$8:$O$179,MATCH(A29,'Лист2'!$B$8:$B$179,0),5))</f>
        <v/>
      </c>
      <c r="E29" s="57" t="str">
        <f>IF(Таблица17[[#This Row],[Столбец1]]="","",INDEX('Лист2'!$A$8:$O$179,MATCH(A29,'Лист2'!$B$8:$B$179,0),6))</f>
        <v/>
      </c>
      <c r="F29" s="57" t="str">
        <f>IF(Таблица17[[#This Row],[Столбец1]]="","",INDEX('Лист2'!$A$8:$O$179,MATCH(A29,'Лист2'!$B$8:$B$179,0),7))</f>
        <v/>
      </c>
      <c r="G29" s="57" t="str">
        <f>IF(Таблица17[[#This Row],[Столбец1]]="","",INDEX('Лист2'!$A$8:$O$179,MATCH(A29,'Лист2'!$B$8:$B$179,0),8))</f>
        <v/>
      </c>
      <c r="H29" s="56" t="str">
        <f>IF(OR(Таблица17[[#This Row],[Столбец1]]="",Таблица17[[#This Row],[Столбец4]]="отсутствует"),"",INDEX('Лист2'!$A$8:$O$179,MATCH(A29,'Лист2'!$B$8:$B$179,0),9))</f>
        <v/>
      </c>
      <c r="I29" s="55" t="str">
        <f>IF(OR(Таблица17[[#This Row],[Столбец1]]="",Таблица17[[#This Row],[Столбец4]]="отсутствует"),"",INDEX('Лист2'!$A$8:$O$179,MATCH(A29,'Лист2'!$B$8:$B$179,0),10))</f>
        <v/>
      </c>
      <c r="J29" s="55" t="str">
        <f>IF(OR(Таблица17[[#This Row],[Столбец1]]="",Таблица17[[#This Row],[Столбец4]]="отсутствует"),"",INDEX('Лист2'!$A$8:$O$179,MATCH(A29,'Лист2'!$B$8:$B$179,0),11))</f>
        <v/>
      </c>
      <c r="K29" s="55" t="str">
        <f>IF(OR(Таблица17[[#This Row],[Столбец1]]="",Таблица17[[#This Row],[Столбец4]]="отсутствует"),"",INDEX('Лист2'!$A$8:$O$179,MATCH(A29,'Лист2'!$B$8:$B$179,0),12))</f>
        <v/>
      </c>
      <c r="L29" s="55" t="str">
        <f>IF(OR(Таблица17[[#This Row],[Столбец1]]="",Таблица17[[#This Row],[Столбец4]]="отсутствует"),"",INDEX('Лист2'!$A$8:$O$179,MATCH(A29,'Лист2'!$B$8:$B$179,0),13))</f>
        <v/>
      </c>
      <c r="M29" s="55" t="str">
        <f>IF(OR(Таблица17[[#This Row],[Столбец1]]="",Таблица17[[#This Row],[Столбец4]]="отсутствует"),"",INDEX('Лист2'!$A$8:$O$179,MATCH(A29,'Лист2'!$B$8:$B$179,0),14))</f>
        <v/>
      </c>
      <c r="N29" s="56" t="str">
        <f>IF(Таблица17[[#This Row],[Столбец1]]="","",IF(INDEX('Лист2'!$A$8:$O$179,MATCH(A29,'Лист2'!$B$8:$B$179,0),15)=0,"",INDEX('Лист2'!$A$8:$O$179,MATCH(A29,'Лист2'!$B$8:$B$179,0),15)))</f>
        <v/>
      </c>
      <c r="O29" s="58"/>
    </row>
    <row r="30" ht="15">
      <c r="A30" s="55"/>
      <c r="B30" s="55" t="str">
        <f>IF(Таблица17[[#This Row],[Столбец1]]="","",INDEX('Лист2'!$A$8:$O$179,MATCH(A30,'Лист2'!$B$8:$B$179,0),3))</f>
        <v/>
      </c>
      <c r="C30" s="56" t="str">
        <f>IF(Таблица17[[#This Row],[Столбец1]]="","",INDEX('Лист2'!$A$8:$O$179,MATCH(A30,'Лист2'!$B$8:$B$179,0),4))</f>
        <v/>
      </c>
      <c r="D30" s="55" t="str">
        <f>IF(Таблица17[[#This Row],[Столбец1]]="","",INDEX('Лист2'!$A$8:$O$179,MATCH(A30,'Лист2'!$B$8:$B$179,0),5))</f>
        <v/>
      </c>
      <c r="E30" s="57" t="str">
        <f>IF(Таблица17[[#This Row],[Столбец1]]="","",INDEX('Лист2'!$A$8:$O$179,MATCH(A30,'Лист2'!$B$8:$B$179,0),6))</f>
        <v/>
      </c>
      <c r="F30" s="57" t="str">
        <f>IF(Таблица17[[#This Row],[Столбец1]]="","",INDEX('Лист2'!$A$8:$O$179,MATCH(A30,'Лист2'!$B$8:$B$179,0),7))</f>
        <v/>
      </c>
      <c r="G30" s="57" t="str">
        <f>IF(Таблица17[[#This Row],[Столбец1]]="","",INDEX('Лист2'!$A$8:$O$179,MATCH(A30,'Лист2'!$B$8:$B$179,0),8))</f>
        <v/>
      </c>
      <c r="H30" s="56" t="str">
        <f>IF(OR(Таблица17[[#This Row],[Столбец1]]="",Таблица17[[#This Row],[Столбец4]]="отсутствует"),"",INDEX('Лист2'!$A$8:$O$179,MATCH(A30,'Лист2'!$B$8:$B$179,0),9))</f>
        <v/>
      </c>
      <c r="I30" s="55" t="str">
        <f>IF(OR(Таблица17[[#This Row],[Столбец1]]="",Таблица17[[#This Row],[Столбец4]]="отсутствует"),"",INDEX('Лист2'!$A$8:$O$179,MATCH(A30,'Лист2'!$B$8:$B$179,0),10))</f>
        <v/>
      </c>
      <c r="J30" s="55" t="str">
        <f>IF(OR(Таблица17[[#This Row],[Столбец1]]="",Таблица17[[#This Row],[Столбец4]]="отсутствует"),"",INDEX('Лист2'!$A$8:$O$179,MATCH(A30,'Лист2'!$B$8:$B$179,0),11))</f>
        <v/>
      </c>
      <c r="K30" s="55" t="str">
        <f>IF(OR(Таблица17[[#This Row],[Столбец1]]="",Таблица17[[#This Row],[Столбец4]]="отсутствует"),"",INDEX('Лист2'!$A$8:$O$179,MATCH(A30,'Лист2'!$B$8:$B$179,0),12))</f>
        <v/>
      </c>
      <c r="L30" s="55" t="str">
        <f>IF(OR(Таблица17[[#This Row],[Столбец1]]="",Таблица17[[#This Row],[Столбец4]]="отсутствует"),"",INDEX('Лист2'!$A$8:$O$179,MATCH(A30,'Лист2'!$B$8:$B$179,0),13))</f>
        <v/>
      </c>
      <c r="M30" s="55" t="str">
        <f>IF(OR(Таблица17[[#This Row],[Столбец1]]="",Таблица17[[#This Row],[Столбец4]]="отсутствует"),"",INDEX('Лист2'!$A$8:$O$179,MATCH(A30,'Лист2'!$B$8:$B$179,0),14))</f>
        <v/>
      </c>
      <c r="N30" s="56" t="str">
        <f>IF(Таблица17[[#This Row],[Столбец1]]="","",IF(INDEX('Лист2'!$A$8:$O$179,MATCH(A30,'Лист2'!$B$8:$B$179,0),15)=0,"",INDEX('Лист2'!$A$8:$O$179,MATCH(A30,'Лист2'!$B$8:$B$179,0),15)))</f>
        <v/>
      </c>
      <c r="O30" s="58"/>
    </row>
    <row r="31" ht="44.25" customHeight="1">
      <c r="A31" s="59" t="s">
        <v>187</v>
      </c>
      <c r="B31" s="59"/>
      <c r="C31" s="59"/>
      <c r="D31" s="59"/>
      <c r="E31" s="60">
        <f>SUBTOTAL(109,Таблица17[[#All],[Столбец5]])</f>
        <v>0</v>
      </c>
      <c r="F31" s="60">
        <f>SUBTOTAL(109,Таблица17[[#All],[Столбец6]])</f>
        <v>0</v>
      </c>
      <c r="G31" s="60">
        <f>SUM(Таблица17[[#All],[Столбец7]])</f>
        <v>0</v>
      </c>
      <c r="H31" s="59"/>
      <c r="I31" s="61"/>
      <c r="J31" s="61"/>
      <c r="K31" s="61"/>
      <c r="L31" s="61"/>
      <c r="M31" s="61"/>
      <c r="N31" s="61"/>
      <c r="O31" s="58"/>
    </row>
    <row r="32" ht="15">
      <c r="A32" s="55"/>
      <c r="B32" s="55" t="str">
        <f>IF(Таблица18[[#This Row],[Столбец1]]="","",INDEX(Лист2!$A$8:$O$179,MATCH(A32,Лист2!$B$8:$B$179,0),3))</f>
        <v/>
      </c>
      <c r="C32" s="56" t="str">
        <f>IF(Таблица18[[#This Row],[Столбец1]]="","",INDEX(Лист2!$A$8:$O$179,MATCH(A32,Лист2!$B$8:$B$179,0),4))</f>
        <v/>
      </c>
      <c r="D32" s="55" t="str">
        <f>IF(Таблица18[[#This Row],[Столбец1]]="","",INDEX(Лист2!$A$8:$O$179,MATCH(A32,Лист2!$B$8:$B$179,0),5))</f>
        <v/>
      </c>
      <c r="E32" s="57" t="str">
        <f>IF(Таблица18[[#This Row],[Столбец1]]="","",INDEX(Лист2!$A$8:$O$179,MATCH(A32,Лист2!$B$8:$B$179,0),6))</f>
        <v/>
      </c>
      <c r="F32" s="57" t="str">
        <f>IF(Таблица18[[#This Row],[Столбец1]]="","",INDEX(Лист2!$A$8:$O$179,MATCH(A32,Лист2!$B$8:$B$179,0),7))</f>
        <v/>
      </c>
      <c r="G32" s="57" t="str">
        <f>IF(Таблица18[[#This Row],[Столбец1]]="","",INDEX(Лист2!$A$8:$O$179,MATCH(A32,Лист2!$B$8:$B$179,0),8))</f>
        <v/>
      </c>
      <c r="H32" s="56" t="str">
        <f>IF(OR(Таблица18[[#This Row],[Столбец1]]="",Таблица18[[#This Row],[Столбец4]]="отсутствует"),"",INDEX(Лист2!$A$8:$O$179,MATCH(A32,Лист2!$B$8:$B$179,0),9))</f>
        <v/>
      </c>
      <c r="I32" s="55" t="str">
        <f>IF(OR(Таблица18[[#This Row],[Столбец1]]="",Таблица18[[#This Row],[Столбец4]]="отсутствует"),"",INDEX(Лист2!$A$8:$O$179,MATCH(A32,Лист2!$B$8:$B$179,0),10))</f>
        <v/>
      </c>
      <c r="J32" s="55" t="str">
        <f>IF(OR(Таблица18[[#This Row],[Столбец1]]="",Таблица18[[#This Row],[Столбец4]]="отсутствует"),"",INDEX(Лист2!$A$8:$O$179,MATCH(A32,Лист2!$B$8:$B$179,0),11))</f>
        <v/>
      </c>
      <c r="K32" s="55" t="str">
        <f>IF(OR(Таблица18[[#This Row],[Столбец1]]="",Таблица18[[#This Row],[Столбец4]]="отсутствует"),"",INDEX(Лист2!$A$8:$O$179,MATCH(A32,Лист2!$B$8:$B$179,0),12))</f>
        <v/>
      </c>
      <c r="L32" s="55" t="str">
        <f>IF(OR(Таблица18[[#This Row],[Столбец1]]="",Таблица18[[#This Row],[Столбец4]]="отсутствует"),"",INDEX(Лист2!$A$8:$O$179,MATCH(A32,Лист2!$B$8:$B$179,0),13))</f>
        <v/>
      </c>
      <c r="M32" s="55" t="str">
        <f>IF(OR(Таблица18[[#This Row],[Столбец1]]="",Таблица18[[#This Row],[Столбец4]]="отсутствует"),"",INDEX(Лист2!$A$8:$O$179,MATCH(A32,Лист2!$B$8:$B$179,0),14))</f>
        <v/>
      </c>
      <c r="N32" s="56" t="str">
        <f>IF(Таблица18[[#This Row],[Столбец1]]="","",IF(INDEX(Лист2!$A$8:$O$179,MATCH(A32,Лист2!$B$8:$B$179,0),15)=0,"",INDEX(Лист2!$A$8:$O$179,MATCH(A32,Лист2!$B$8:$B$179,0),15)))</f>
        <v/>
      </c>
      <c r="O32" s="58"/>
    </row>
    <row r="33" ht="15">
      <c r="A33" s="55"/>
      <c r="B33" s="55" t="str">
        <f>IF(Таблица18[[#This Row],[Столбец1]]="","",INDEX('Лист2'!$A$8:$O$179,MATCH(A33,'Лист2'!$B$8:$B$179,0),3))</f>
        <v/>
      </c>
      <c r="C33" s="56" t="str">
        <f>IF(Таблица18[[#This Row],[Столбец1]]="","",INDEX('Лист2'!$A$8:$O$179,MATCH(A33,'Лист2'!$B$8:$B$179,0),4))</f>
        <v/>
      </c>
      <c r="D33" s="55" t="str">
        <f>IF(Таблица18[[#This Row],[Столбец1]]="","",INDEX('Лист2'!$A$8:$O$179,MATCH(A33,'Лист2'!$B$8:$B$179,0),5))</f>
        <v/>
      </c>
      <c r="E33" s="57" t="str">
        <f>IF(Таблица18[[#This Row],[Столбец1]]="","",INDEX('Лист2'!$A$8:$O$179,MATCH(A33,'Лист2'!$B$8:$B$179,0),6))</f>
        <v/>
      </c>
      <c r="F33" s="57" t="str">
        <f>IF(Таблица18[[#This Row],[Столбец1]]="","",INDEX('Лист2'!$A$8:$O$179,MATCH(A33,'Лист2'!$B$8:$B$179,0),7))</f>
        <v/>
      </c>
      <c r="G33" s="57" t="str">
        <f>IF(Таблица18[[#This Row],[Столбец1]]="","",INDEX('Лист2'!$A$8:$O$179,MATCH(A33,'Лист2'!$B$8:$B$179,0),8))</f>
        <v/>
      </c>
      <c r="H33" s="56" t="str">
        <f>IF(OR(Таблица18[[#This Row],[Столбец1]]="",Таблица18[[#This Row],[Столбец4]]="отсутствует"),"",INDEX('Лист2'!$A$8:$O$179,MATCH(A33,'Лист2'!$B$8:$B$179,0),9))</f>
        <v/>
      </c>
      <c r="I33" s="55" t="str">
        <f>IF(OR(Таблица18[[#This Row],[Столбец1]]="",Таблица18[[#This Row],[Столбец4]]="отсутствует"),"",INDEX('Лист2'!$A$8:$O$179,MATCH(A33,'Лист2'!$B$8:$B$179,0),10))</f>
        <v/>
      </c>
      <c r="J33" s="55" t="str">
        <f>IF(OR(Таблица18[[#This Row],[Столбец1]]="",Таблица18[[#This Row],[Столбец4]]="отсутствует"),"",INDEX('Лист2'!$A$8:$O$179,MATCH(A33,'Лист2'!$B$8:$B$179,0),11))</f>
        <v/>
      </c>
      <c r="K33" s="55" t="str">
        <f>IF(OR(Таблица18[[#This Row],[Столбец1]]="",Таблица18[[#This Row],[Столбец4]]="отсутствует"),"",INDEX('Лист2'!$A$8:$O$179,MATCH(A33,'Лист2'!$B$8:$B$179,0),12))</f>
        <v/>
      </c>
      <c r="L33" s="55" t="str">
        <f>IF(OR(Таблица18[[#This Row],[Столбец1]]="",Таблица18[[#This Row],[Столбец4]]="отсутствует"),"",INDEX('Лист2'!$A$8:$O$179,MATCH(A33,'Лист2'!$B$8:$B$179,0),13))</f>
        <v/>
      </c>
      <c r="M33" s="55" t="str">
        <f>IF(OR(Таблица18[[#This Row],[Столбец1]]="",Таблица18[[#This Row],[Столбец4]]="отсутствует"),"",INDEX('Лист2'!$A$8:$O$179,MATCH(A33,'Лист2'!$B$8:$B$179,0),14))</f>
        <v/>
      </c>
      <c r="N33" s="56" t="str">
        <f>IF(Таблица18[[#This Row],[Столбец1]]="","",IF(INDEX('Лист2'!$A$8:$O$179,MATCH(A33,'Лист2'!$B$8:$B$179,0),15)=0,"",INDEX('Лист2'!$A$8:$O$179,MATCH(A33,'Лист2'!$B$8:$B$179,0),15)))</f>
        <v/>
      </c>
      <c r="O33" s="58"/>
    </row>
    <row r="34" ht="15">
      <c r="A34" s="55"/>
      <c r="B34" s="55" t="str">
        <f>IF(Таблица18[[#This Row],[Столбец1]]="","",INDEX('Лист2'!$A$8:$O$179,MATCH(A34,'Лист2'!$B$8:$B$179,0),3))</f>
        <v/>
      </c>
      <c r="C34" s="56" t="str">
        <f>IF(Таблица18[[#This Row],[Столбец1]]="","",INDEX('Лист2'!$A$8:$O$179,MATCH(A34,'Лист2'!$B$8:$B$179,0),4))</f>
        <v/>
      </c>
      <c r="D34" s="55" t="str">
        <f>IF(Таблица18[[#This Row],[Столбец1]]="","",INDEX('Лист2'!$A$8:$O$179,MATCH(A34,'Лист2'!$B$8:$B$179,0),5))</f>
        <v/>
      </c>
      <c r="E34" s="57" t="str">
        <f>IF(Таблица18[[#This Row],[Столбец1]]="","",INDEX('Лист2'!$A$8:$O$179,MATCH(A34,'Лист2'!$B$8:$B$179,0),6))</f>
        <v/>
      </c>
      <c r="F34" s="57" t="str">
        <f>IF(Таблица18[[#This Row],[Столбец1]]="","",INDEX('Лист2'!$A$8:$O$179,MATCH(A34,'Лист2'!$B$8:$B$179,0),7))</f>
        <v/>
      </c>
      <c r="G34" s="57" t="str">
        <f>IF(Таблица18[[#This Row],[Столбец1]]="","",INDEX('Лист2'!$A$8:$O$179,MATCH(A34,'Лист2'!$B$8:$B$179,0),8))</f>
        <v/>
      </c>
      <c r="H34" s="56" t="str">
        <f>IF(OR(Таблица18[[#This Row],[Столбец1]]="",Таблица18[[#This Row],[Столбец4]]="отсутствует"),"",INDEX('Лист2'!$A$8:$O$179,MATCH(A34,'Лист2'!$B$8:$B$179,0),9))</f>
        <v/>
      </c>
      <c r="I34" s="55" t="str">
        <f>IF(OR(Таблица18[[#This Row],[Столбец1]]="",Таблица18[[#This Row],[Столбец4]]="отсутствует"),"",INDEX('Лист2'!$A$8:$O$179,MATCH(A34,'Лист2'!$B$8:$B$179,0),10))</f>
        <v/>
      </c>
      <c r="J34" s="55" t="str">
        <f>IF(OR(Таблица18[[#This Row],[Столбец1]]="",Таблица18[[#This Row],[Столбец4]]="отсутствует"),"",INDEX('Лист2'!$A$8:$O$179,MATCH(A34,'Лист2'!$B$8:$B$179,0),11))</f>
        <v/>
      </c>
      <c r="K34" s="55" t="str">
        <f>IF(OR(Таблица18[[#This Row],[Столбец1]]="",Таблица18[[#This Row],[Столбец4]]="отсутствует"),"",INDEX('Лист2'!$A$8:$O$179,MATCH(A34,'Лист2'!$B$8:$B$179,0),12))</f>
        <v/>
      </c>
      <c r="L34" s="55" t="str">
        <f>IF(OR(Таблица18[[#This Row],[Столбец1]]="",Таблица18[[#This Row],[Столбец4]]="отсутствует"),"",INDEX('Лист2'!$A$8:$O$179,MATCH(A34,'Лист2'!$B$8:$B$179,0),13))</f>
        <v/>
      </c>
      <c r="M34" s="55" t="str">
        <f>IF(OR(Таблица18[[#This Row],[Столбец1]]="",Таблица18[[#This Row],[Столбец4]]="отсутствует"),"",INDEX('Лист2'!$A$8:$O$179,MATCH(A34,'Лист2'!$B$8:$B$179,0),14))</f>
        <v/>
      </c>
      <c r="N34" s="56" t="str">
        <f>IF(Таблица18[[#This Row],[Столбец1]]="","",IF(INDEX('Лист2'!$A$8:$O$179,MATCH(A34,'Лист2'!$B$8:$B$179,0),15)=0,"",INDEX('Лист2'!$A$8:$O$179,MATCH(A34,'Лист2'!$B$8:$B$179,0),15)))</f>
        <v/>
      </c>
      <c r="O34" s="58"/>
    </row>
    <row r="35" ht="15">
      <c r="A35" s="55"/>
      <c r="B35" s="55" t="str">
        <f>IF(Таблица18[[#This Row],[Столбец1]]="","",INDEX('Лист2'!$A$8:$O$179,MATCH(A35,'Лист2'!$B$8:$B$179,0),3))</f>
        <v/>
      </c>
      <c r="C35" s="56" t="str">
        <f>IF(Таблица18[[#This Row],[Столбец1]]="","",INDEX('Лист2'!$A$8:$O$179,MATCH(A35,'Лист2'!$B$8:$B$179,0),4))</f>
        <v/>
      </c>
      <c r="D35" s="55" t="str">
        <f>IF(Таблица18[[#This Row],[Столбец1]]="","",INDEX('Лист2'!$A$8:$O$179,MATCH(A35,'Лист2'!$B$8:$B$179,0),5))</f>
        <v/>
      </c>
      <c r="E35" s="57" t="str">
        <f>IF(Таблица18[[#This Row],[Столбец1]]="","",INDEX('Лист2'!$A$8:$O$179,MATCH(A35,'Лист2'!$B$8:$B$179,0),6))</f>
        <v/>
      </c>
      <c r="F35" s="57" t="str">
        <f>IF(Таблица18[[#This Row],[Столбец1]]="","",INDEX('Лист2'!$A$8:$O$179,MATCH(A35,'Лист2'!$B$8:$B$179,0),7))</f>
        <v/>
      </c>
      <c r="G35" s="57" t="str">
        <f>IF(Таблица18[[#This Row],[Столбец1]]="","",INDEX('Лист2'!$A$8:$O$179,MATCH(A35,'Лист2'!$B$8:$B$179,0),8))</f>
        <v/>
      </c>
      <c r="H35" s="56" t="str">
        <f>IF(OR(Таблица18[[#This Row],[Столбец1]]="",Таблица18[[#This Row],[Столбец4]]="отсутствует"),"",INDEX('Лист2'!$A$8:$O$179,MATCH(A35,'Лист2'!$B$8:$B$179,0),9))</f>
        <v/>
      </c>
      <c r="I35" s="55" t="str">
        <f>IF(OR(Таблица18[[#This Row],[Столбец1]]="",Таблица18[[#This Row],[Столбец4]]="отсутствует"),"",INDEX('Лист2'!$A$8:$O$179,MATCH(A35,'Лист2'!$B$8:$B$179,0),10))</f>
        <v/>
      </c>
      <c r="J35" s="55" t="str">
        <f>IF(OR(Таблица18[[#This Row],[Столбец1]]="",Таблица18[[#This Row],[Столбец4]]="отсутствует"),"",INDEX('Лист2'!$A$8:$O$179,MATCH(A35,'Лист2'!$B$8:$B$179,0),11))</f>
        <v/>
      </c>
      <c r="K35" s="55" t="str">
        <f>IF(OR(Таблица18[[#This Row],[Столбец1]]="",Таблица18[[#This Row],[Столбец4]]="отсутствует"),"",INDEX('Лист2'!$A$8:$O$179,MATCH(A35,'Лист2'!$B$8:$B$179,0),12))</f>
        <v/>
      </c>
      <c r="L35" s="55" t="str">
        <f>IF(OR(Таблица18[[#This Row],[Столбец1]]="",Таблица18[[#This Row],[Столбец4]]="отсутствует"),"",INDEX('Лист2'!$A$8:$O$179,MATCH(A35,'Лист2'!$B$8:$B$179,0),13))</f>
        <v/>
      </c>
      <c r="M35" s="55" t="str">
        <f>IF(OR(Таблица18[[#This Row],[Столбец1]]="",Таблица18[[#This Row],[Столбец4]]="отсутствует"),"",INDEX('Лист2'!$A$8:$O$179,MATCH(A35,'Лист2'!$B$8:$B$179,0),14))</f>
        <v/>
      </c>
      <c r="N35" s="56" t="str">
        <f>IF(Таблица18[[#This Row],[Столбец1]]="","",IF(INDEX('Лист2'!$A$8:$O$179,MATCH(A35,'Лист2'!$B$8:$B$179,0),15)=0,"",INDEX('Лист2'!$A$8:$O$179,MATCH(A35,'Лист2'!$B$8:$B$179,0),15)))</f>
        <v/>
      </c>
      <c r="O35" s="58"/>
    </row>
    <row r="36" ht="18" customHeight="1">
      <c r="A36" s="55"/>
      <c r="B36" s="55" t="str">
        <f>IF(Таблица18[[#This Row],[Столбец1]]="","",INDEX('Лист2'!$A$8:$O$179,MATCH(A36,'Лист2'!$B$8:$B$179,0),3))</f>
        <v/>
      </c>
      <c r="C36" s="56" t="str">
        <f>IF(Таблица18[[#This Row],[Столбец1]]="","",INDEX('Лист2'!$A$8:$O$179,MATCH(A36,'Лист2'!$B$8:$B$179,0),4))</f>
        <v/>
      </c>
      <c r="D36" s="55" t="str">
        <f>IF(Таблица18[[#This Row],[Столбец1]]="","",INDEX('Лист2'!$A$8:$O$179,MATCH(A36,'Лист2'!$B$8:$B$179,0),5))</f>
        <v/>
      </c>
      <c r="E36" s="57" t="str">
        <f>IF(Таблица18[[#This Row],[Столбец1]]="","",INDEX('Лист2'!$A$8:$O$179,MATCH(A36,'Лист2'!$B$8:$B$179,0),6))</f>
        <v/>
      </c>
      <c r="F36" s="57" t="str">
        <f>IF(Таблица18[[#This Row],[Столбец1]]="","",INDEX('Лист2'!$A$8:$O$179,MATCH(A36,'Лист2'!$B$8:$B$179,0),7))</f>
        <v/>
      </c>
      <c r="G36" s="57" t="str">
        <f>IF(Таблица18[[#This Row],[Столбец1]]="","",INDEX('Лист2'!$A$8:$O$179,MATCH(A36,'Лист2'!$B$8:$B$179,0),8))</f>
        <v/>
      </c>
      <c r="H36" s="56" t="str">
        <f>IF(OR(Таблица18[[#This Row],[Столбец1]]="",Таблица18[[#This Row],[Столбец4]]="отсутствует"),"",INDEX('Лист2'!$A$8:$O$179,MATCH(A36,'Лист2'!$B$8:$B$179,0),9))</f>
        <v/>
      </c>
      <c r="I36" s="55" t="str">
        <f>IF(OR(Таблица18[[#This Row],[Столбец1]]="",Таблица18[[#This Row],[Столбец4]]="отсутствует"),"",INDEX('Лист2'!$A$8:$O$179,MATCH(A36,'Лист2'!$B$8:$B$179,0),10))</f>
        <v/>
      </c>
      <c r="J36" s="55" t="str">
        <f>IF(OR(Таблица18[[#This Row],[Столбец1]]="",Таблица18[[#This Row],[Столбец4]]="отсутствует"),"",INDEX('Лист2'!$A$8:$O$179,MATCH(A36,'Лист2'!$B$8:$B$179,0),11))</f>
        <v/>
      </c>
      <c r="K36" s="55" t="str">
        <f>IF(OR(Таблица18[[#This Row],[Столбец1]]="",Таблица18[[#This Row],[Столбец4]]="отсутствует"),"",INDEX('Лист2'!$A$8:$O$179,MATCH(A36,'Лист2'!$B$8:$B$179,0),12))</f>
        <v/>
      </c>
      <c r="L36" s="55" t="str">
        <f>IF(OR(Таблица18[[#This Row],[Столбец1]]="",Таблица18[[#This Row],[Столбец4]]="отсутствует"),"",INDEX('Лист2'!$A$8:$O$179,MATCH(A36,'Лист2'!$B$8:$B$179,0),13))</f>
        <v/>
      </c>
      <c r="M36" s="55" t="str">
        <f>IF(OR(Таблица18[[#This Row],[Столбец1]]="",Таблица18[[#This Row],[Столбец4]]="отсутствует"),"",INDEX('Лист2'!$A$8:$O$179,MATCH(A36,'Лист2'!$B$8:$B$179,0),14))</f>
        <v/>
      </c>
      <c r="N36" s="56" t="str">
        <f>IF(Таблица18[[#This Row],[Столбец1]]="","",IF(INDEX('Лист2'!$A$8:$O$179,MATCH(A36,'Лист2'!$B$8:$B$179,0),15)=0,"",INDEX('Лист2'!$A$8:$O$179,MATCH(A36,'Лист2'!$B$8:$B$179,0),15)))</f>
        <v/>
      </c>
      <c r="O36" s="58"/>
    </row>
    <row r="37" ht="15">
      <c r="A37" s="55"/>
      <c r="B37" s="55" t="str">
        <f>IF(Таблица18[[#This Row],[Столбец1]]="","",INDEX('Лист2'!$A$8:$O$179,MATCH(A37,'Лист2'!$B$8:$B$179,0),3))</f>
        <v/>
      </c>
      <c r="C37" s="56" t="str">
        <f>IF(Таблица18[[#This Row],[Столбец1]]="","",INDEX('Лист2'!$A$8:$O$179,MATCH(A37,'Лист2'!$B$8:$B$179,0),4))</f>
        <v/>
      </c>
      <c r="D37" s="55" t="str">
        <f>IF(Таблица18[[#This Row],[Столбец1]]="","",INDEX('Лист2'!$A$8:$O$179,MATCH(A37,'Лист2'!$B$8:$B$179,0),5))</f>
        <v/>
      </c>
      <c r="E37" s="57" t="str">
        <f>IF(Таблица18[[#This Row],[Столбец1]]="","",INDEX('Лист2'!$A$8:$O$179,MATCH(A37,'Лист2'!$B$8:$B$179,0),6))</f>
        <v/>
      </c>
      <c r="F37" s="57" t="str">
        <f>IF(Таблица18[[#This Row],[Столбец1]]="","",INDEX('Лист2'!$A$8:$O$179,MATCH(A37,'Лист2'!$B$8:$B$179,0),7))</f>
        <v/>
      </c>
      <c r="G37" s="57" t="str">
        <f>IF(Таблица18[[#This Row],[Столбец1]]="","",INDEX('Лист2'!$A$8:$O$179,MATCH(A37,'Лист2'!$B$8:$B$179,0),8))</f>
        <v/>
      </c>
      <c r="H37" s="56" t="str">
        <f>IF(OR(Таблица18[[#This Row],[Столбец1]]="",Таблица18[[#This Row],[Столбец4]]="отсутствует"),"",INDEX('Лист2'!$A$8:$O$179,MATCH(A37,'Лист2'!$B$8:$B$179,0),9))</f>
        <v/>
      </c>
      <c r="I37" s="55" t="str">
        <f>IF(OR(Таблица18[[#This Row],[Столбец1]]="",Таблица18[[#This Row],[Столбец4]]="отсутствует"),"",INDEX('Лист2'!$A$8:$O$179,MATCH(A37,'Лист2'!$B$8:$B$179,0),10))</f>
        <v/>
      </c>
      <c r="J37" s="55" t="str">
        <f>IF(OR(Таблица18[[#This Row],[Столбец1]]="",Таблица18[[#This Row],[Столбец4]]="отсутствует"),"",INDEX('Лист2'!$A$8:$O$179,MATCH(A37,'Лист2'!$B$8:$B$179,0),11))</f>
        <v/>
      </c>
      <c r="K37" s="55" t="str">
        <f>IF(OR(Таблица18[[#This Row],[Столбец1]]="",Таблица18[[#This Row],[Столбец4]]="отсутствует"),"",INDEX('Лист2'!$A$8:$O$179,MATCH(A37,'Лист2'!$B$8:$B$179,0),12))</f>
        <v/>
      </c>
      <c r="L37" s="55" t="str">
        <f>IF(OR(Таблица18[[#This Row],[Столбец1]]="",Таблица18[[#This Row],[Столбец4]]="отсутствует"),"",INDEX('Лист2'!$A$8:$O$179,MATCH(A37,'Лист2'!$B$8:$B$179,0),13))</f>
        <v/>
      </c>
      <c r="M37" s="55" t="str">
        <f>IF(OR(Таблица18[[#This Row],[Столбец1]]="",Таблица18[[#This Row],[Столбец4]]="отсутствует"),"",INDEX('Лист2'!$A$8:$O$179,MATCH(A37,'Лист2'!$B$8:$B$179,0),14))</f>
        <v/>
      </c>
      <c r="N37" s="56" t="str">
        <f>IF(Таблица18[[#This Row],[Столбец1]]="","",IF(INDEX('Лист2'!$A$8:$O$179,MATCH(A37,'Лист2'!$B$8:$B$179,0),15)=0,"",INDEX('Лист2'!$A$8:$O$179,MATCH(A37,'Лист2'!$B$8:$B$179,0),15)))</f>
        <v/>
      </c>
      <c r="O37" s="58"/>
    </row>
    <row r="38" ht="15">
      <c r="A38" s="55"/>
      <c r="B38" s="55" t="str">
        <f>IF(Таблица18[[#This Row],[Столбец1]]="","",INDEX('Лист2'!$A$8:$O$179,MATCH(A38,'Лист2'!$B$8:$B$179,0),3))</f>
        <v/>
      </c>
      <c r="C38" s="56" t="str">
        <f>IF(Таблица18[[#This Row],[Столбец1]]="","",INDEX('Лист2'!$A$8:$O$179,MATCH(A38,'Лист2'!$B$8:$B$179,0),4))</f>
        <v/>
      </c>
      <c r="D38" s="55" t="str">
        <f>IF(Таблица18[[#This Row],[Столбец1]]="","",INDEX('Лист2'!$A$8:$O$179,MATCH(A38,'Лист2'!$B$8:$B$179,0),5))</f>
        <v/>
      </c>
      <c r="E38" s="57" t="str">
        <f>IF(Таблица18[[#This Row],[Столбец1]]="","",INDEX('Лист2'!$A$8:$O$179,MATCH(A38,'Лист2'!$B$8:$B$179,0),6))</f>
        <v/>
      </c>
      <c r="F38" s="57" t="str">
        <f>IF(Таблица18[[#This Row],[Столбец1]]="","",INDEX('Лист2'!$A$8:$O$179,MATCH(A38,'Лист2'!$B$8:$B$179,0),7))</f>
        <v/>
      </c>
      <c r="G38" s="57" t="str">
        <f>IF(Таблица18[[#This Row],[Столбец1]]="","",INDEX('Лист2'!$A$8:$O$179,MATCH(A38,'Лист2'!$B$8:$B$179,0),8))</f>
        <v/>
      </c>
      <c r="H38" s="56" t="str">
        <f>IF(OR(Таблица18[[#This Row],[Столбец1]]="",Таблица18[[#This Row],[Столбец4]]="отсутствует"),"",INDEX('Лист2'!$A$8:$O$179,MATCH(A38,'Лист2'!$B$8:$B$179,0),9))</f>
        <v/>
      </c>
      <c r="I38" s="55" t="str">
        <f>IF(OR(Таблица18[[#This Row],[Столбец1]]="",Таблица18[[#This Row],[Столбец4]]="отсутствует"),"",INDEX('Лист2'!$A$8:$O$179,MATCH(A38,'Лист2'!$B$8:$B$179,0),10))</f>
        <v/>
      </c>
      <c r="J38" s="55" t="str">
        <f>IF(OR(Таблица18[[#This Row],[Столбец1]]="",Таблица18[[#This Row],[Столбец4]]="отсутствует"),"",INDEX('Лист2'!$A$8:$O$179,MATCH(A38,'Лист2'!$B$8:$B$179,0),11))</f>
        <v/>
      </c>
      <c r="K38" s="55" t="str">
        <f>IF(OR(Таблица18[[#This Row],[Столбец1]]="",Таблица18[[#This Row],[Столбец4]]="отсутствует"),"",INDEX('Лист2'!$A$8:$O$179,MATCH(A38,'Лист2'!$B$8:$B$179,0),12))</f>
        <v/>
      </c>
      <c r="L38" s="55" t="str">
        <f>IF(OR(Таблица18[[#This Row],[Столбец1]]="",Таблица18[[#This Row],[Столбец4]]="отсутствует"),"",INDEX('Лист2'!$A$8:$O$179,MATCH(A38,'Лист2'!$B$8:$B$179,0),13))</f>
        <v/>
      </c>
      <c r="M38" s="55" t="str">
        <f>IF(OR(Таблица18[[#This Row],[Столбец1]]="",Таблица18[[#This Row],[Столбец4]]="отсутствует"),"",INDEX('Лист2'!$A$8:$O$179,MATCH(A38,'Лист2'!$B$8:$B$179,0),14))</f>
        <v/>
      </c>
      <c r="N38" s="56" t="str">
        <f>IF(Таблица18[[#This Row],[Столбец1]]="","",IF(INDEX('Лист2'!$A$8:$O$179,MATCH(A38,'Лист2'!$B$8:$B$179,0),15)=0,"",INDEX('Лист2'!$A$8:$O$179,MATCH(A38,'Лист2'!$B$8:$B$179,0),15)))</f>
        <v/>
      </c>
      <c r="O38" s="58"/>
    </row>
    <row r="39" ht="15">
      <c r="A39" s="59" t="s">
        <v>188</v>
      </c>
      <c r="B39" s="59"/>
      <c r="C39" s="59"/>
      <c r="D39" s="59"/>
      <c r="E39" s="60">
        <f>SUBTOTAL(109,Таблица18[[#All],[Столбец5]])</f>
        <v>0</v>
      </c>
      <c r="F39" s="60">
        <f>SUBTOTAL(109,Таблица18[[#All],[Столбец6]])</f>
        <v>0</v>
      </c>
      <c r="G39" s="60">
        <f>SUBTOTAL(109,Таблица18[[#All],[Столбец7]])</f>
        <v>0</v>
      </c>
      <c r="H39" s="59"/>
      <c r="I39" s="61"/>
      <c r="J39" s="61"/>
      <c r="K39" s="61"/>
      <c r="L39" s="61"/>
      <c r="M39" s="61"/>
      <c r="N39" s="61"/>
      <c r="O39" s="58"/>
    </row>
    <row r="40" ht="15">
      <c r="A40" s="55"/>
      <c r="B40" s="55" t="str">
        <f>IF(Таблица1821[[#This Row],[Столбец1]]="","",INDEX(Лист2!$A$8:$O$179,MATCH(A40,Лист2!$B$8:$B$179,0),3))</f>
        <v/>
      </c>
      <c r="C40" s="56" t="str">
        <f>IF(Таблица1821[[#This Row],[Столбец1]]="","",INDEX(Лист2!$A$8:$O$179,MATCH(A40,Лист2!$B$8:$B$179,0),4))</f>
        <v/>
      </c>
      <c r="D40" s="55" t="str">
        <f>IF(Таблица1821[[#This Row],[Столбец1]]="","",INDEX(Лист2!$A$8:$O$179,MATCH(A40,Лист2!$B$8:$B$179,0),5))</f>
        <v/>
      </c>
      <c r="E40" s="57" t="str">
        <f>IF(Таблица1821[[#This Row],[Столбец1]]="","",INDEX(Лист2!$A$8:$O$179,MATCH(A40,Лист2!$B$8:$B$179,0),6))</f>
        <v/>
      </c>
      <c r="F40" s="57" t="str">
        <f>IF(Таблица1821[[#This Row],[Столбец1]]="","",INDEX(Лист2!$A$8:$O$179,MATCH(A40,Лист2!$B$8:$B$179,0),7))</f>
        <v/>
      </c>
      <c r="G40" s="57" t="str">
        <f>IF(Таблица1821[[#This Row],[Столбец1]]="","",INDEX(Лист2!$A$8:$O$179,MATCH(A40,Лист2!$B$8:$B$179,0),8))</f>
        <v/>
      </c>
      <c r="H40" s="56" t="str">
        <f>IF(OR(Таблица1821[[#This Row],[Столбец1]]="",Таблица1821[[#This Row],[Столбец4]]="отсутствует"),"",INDEX(Лист2!$A$8:$O$179,MATCH(A40,Лист2!$B$8:$B$179,0),9))</f>
        <v/>
      </c>
      <c r="I40" s="55" t="str">
        <f>IF(OR(Таблица1821[[#This Row],[Столбец1]]="",Таблица1821[[#This Row],[Столбец4]]="отсутствует"),"",INDEX(Лист2!$A$8:$O$179,MATCH(A40,Лист2!$B$8:$B$179,0),10))</f>
        <v/>
      </c>
      <c r="J40" s="55" t="str">
        <f>IF(OR(Таблица1821[[#This Row],[Столбец1]]="",Таблица1821[[#This Row],[Столбец4]]="отсутствует"),"",INDEX(Лист2!$A$8:$O$179,MATCH(A40,Лист2!$B$8:$B$179,0),11))</f>
        <v/>
      </c>
      <c r="K40" s="55" t="str">
        <f>IF(OR(Таблица1821[[#This Row],[Столбец1]]="",Таблица1821[[#This Row],[Столбец4]]="отсутствует"),"",INDEX(Лист2!$A$8:$O$179,MATCH(A40,Лист2!$B$8:$B$179,0),12))</f>
        <v/>
      </c>
      <c r="L40" s="55" t="str">
        <f>IF(OR(Таблица1821[[#This Row],[Столбец1]]="",Таблица1821[[#This Row],[Столбец4]]="отсутствует"),"",INDEX(Лист2!$A$8:$O$179,MATCH(A40,Лист2!$B$8:$B$179,0),13))</f>
        <v/>
      </c>
      <c r="M40" s="55" t="str">
        <f>IF(OR(Таблица1821[[#This Row],[Столбец1]]="",Таблица1821[[#This Row],[Столбец4]]="отсутствует"),"",INDEX(Лист2!$A$8:$O$179,MATCH(A40,Лист2!$B$8:$B$179,0),14))</f>
        <v/>
      </c>
      <c r="N40" s="56" t="str">
        <f>IF(Таблица1821[[#This Row],[Столбец1]]="","",IF(INDEX(Лист2!$A$8:$O$179,MATCH(A40,Лист2!$B$8:$B$179,0),15)=0,"",INDEX(Лист2!$A$8:$O$179,MATCH(A40,Лист2!$B$8:$B$179,0),15)))</f>
        <v/>
      </c>
      <c r="O40" s="58"/>
    </row>
    <row r="41" ht="15">
      <c r="A41" s="55"/>
      <c r="B41" s="55" t="str">
        <f>IF(Таблица1821[[#This Row],[Столбец1]]="","",INDEX('Лист2'!$A$8:$O$179,MATCH(A41,'Лист2'!$B$8:$B$179,0),3))</f>
        <v/>
      </c>
      <c r="C41" s="56" t="str">
        <f>IF(Таблица1821[[#This Row],[Столбец1]]="","",INDEX('Лист2'!$A$8:$O$179,MATCH(A41,'Лист2'!$B$8:$B$179,0),4))</f>
        <v/>
      </c>
      <c r="D41" s="55" t="str">
        <f>IF(Таблица1821[[#This Row],[Столбец1]]="","",INDEX('Лист2'!$A$8:$O$179,MATCH(A41,'Лист2'!$B$8:$B$179,0),5))</f>
        <v/>
      </c>
      <c r="E41" s="57" t="str">
        <f>IF(Таблица1821[[#This Row],[Столбец1]]="","",INDEX('Лист2'!$A$8:$O$179,MATCH(A41,'Лист2'!$B$8:$B$179,0),6))</f>
        <v/>
      </c>
      <c r="F41" s="57" t="str">
        <f>IF(Таблица1821[[#This Row],[Столбец1]]="","",INDEX('Лист2'!$A$8:$O$179,MATCH(A41,'Лист2'!$B$8:$B$179,0),7))</f>
        <v/>
      </c>
      <c r="G41" s="57" t="str">
        <f>IF(Таблица1821[[#This Row],[Столбец1]]="","",INDEX('Лист2'!$A$8:$O$179,MATCH(A41,'Лист2'!$B$8:$B$179,0),8))</f>
        <v/>
      </c>
      <c r="H41" s="56" t="str">
        <f>IF(OR(Таблица1821[[#This Row],[Столбец1]]="",Таблица1821[[#This Row],[Столбец4]]="отсутствует"),"",INDEX('Лист2'!$A$8:$O$179,MATCH(A41,'Лист2'!$B$8:$B$179,0),9))</f>
        <v/>
      </c>
      <c r="I41" s="55" t="str">
        <f>IF(OR(Таблица1821[[#This Row],[Столбец1]]="",Таблица1821[[#This Row],[Столбец4]]="отсутствует"),"",INDEX('Лист2'!$A$8:$O$179,MATCH(A41,'Лист2'!$B$8:$B$179,0),10))</f>
        <v/>
      </c>
      <c r="J41" s="55" t="str">
        <f>IF(OR(Таблица1821[[#This Row],[Столбец1]]="",Таблица1821[[#This Row],[Столбец4]]="отсутствует"),"",INDEX('Лист2'!$A$8:$O$179,MATCH(A41,'Лист2'!$B$8:$B$179,0),11))</f>
        <v/>
      </c>
      <c r="K41" s="55" t="str">
        <f>IF(OR(Таблица1821[[#This Row],[Столбец1]]="",Таблица1821[[#This Row],[Столбец4]]="отсутствует"),"",INDEX('Лист2'!$A$8:$O$179,MATCH(A41,'Лист2'!$B$8:$B$179,0),12))</f>
        <v/>
      </c>
      <c r="L41" s="55" t="str">
        <f>IF(OR(Таблица1821[[#This Row],[Столбец1]]="",Таблица1821[[#This Row],[Столбец4]]="отсутствует"),"",INDEX('Лист2'!$A$8:$O$179,MATCH(A41,'Лист2'!$B$8:$B$179,0),13))</f>
        <v/>
      </c>
      <c r="M41" s="55" t="str">
        <f>IF(OR(Таблица1821[[#This Row],[Столбец1]]="",Таблица1821[[#This Row],[Столбец4]]="отсутствует"),"",INDEX('Лист2'!$A$8:$O$179,MATCH(A41,'Лист2'!$B$8:$B$179,0),14))</f>
        <v/>
      </c>
      <c r="N41" s="56" t="str">
        <f>IF(Таблица1821[[#This Row],[Столбец1]]="","",IF(INDEX('Лист2'!$A$8:$O$179,MATCH(A41,'Лист2'!$B$8:$B$179,0),15)=0,"",INDEX('Лист2'!$A$8:$O$179,MATCH(A41,'Лист2'!$B$8:$B$179,0),15)))</f>
        <v/>
      </c>
      <c r="O41" s="58"/>
    </row>
    <row r="42" ht="15">
      <c r="A42" s="55"/>
      <c r="B42" s="55" t="str">
        <f>IF(Таблица1821[[#This Row],[Столбец1]]="","",INDEX('Лист2'!$A$8:$O$179,MATCH(A42,'Лист2'!$B$8:$B$179,0),3))</f>
        <v/>
      </c>
      <c r="C42" s="56" t="str">
        <f>IF(Таблица1821[[#This Row],[Столбец1]]="","",INDEX('Лист2'!$A$8:$O$179,MATCH(A42,'Лист2'!$B$8:$B$179,0),4))</f>
        <v/>
      </c>
      <c r="D42" s="55" t="str">
        <f>IF(Таблица1821[[#This Row],[Столбец1]]="","",INDEX('Лист2'!$A$8:$O$179,MATCH(A42,'Лист2'!$B$8:$B$179,0),5))</f>
        <v/>
      </c>
      <c r="E42" s="57" t="str">
        <f>IF(Таблица1821[[#This Row],[Столбец1]]="","",INDEX('Лист2'!$A$8:$O$179,MATCH(A42,'Лист2'!$B$8:$B$179,0),6))</f>
        <v/>
      </c>
      <c r="F42" s="57" t="str">
        <f>IF(Таблица1821[[#This Row],[Столбец1]]="","",INDEX('Лист2'!$A$8:$O$179,MATCH(A42,'Лист2'!$B$8:$B$179,0),7))</f>
        <v/>
      </c>
      <c r="G42" s="57" t="str">
        <f>IF(Таблица1821[[#This Row],[Столбец1]]="","",INDEX('Лист2'!$A$8:$O$179,MATCH(A42,'Лист2'!$B$8:$B$179,0),8))</f>
        <v/>
      </c>
      <c r="H42" s="56" t="str">
        <f>IF(OR(Таблица1821[[#This Row],[Столбец1]]="",Таблица1821[[#This Row],[Столбец4]]="отсутствует"),"",INDEX('Лист2'!$A$8:$O$179,MATCH(A42,'Лист2'!$B$8:$B$179,0),9))</f>
        <v/>
      </c>
      <c r="I42" s="55" t="str">
        <f>IF(OR(Таблица1821[[#This Row],[Столбец1]]="",Таблица1821[[#This Row],[Столбец4]]="отсутствует"),"",INDEX('Лист2'!$A$8:$O$179,MATCH(A42,'Лист2'!$B$8:$B$179,0),10))</f>
        <v/>
      </c>
      <c r="J42" s="55" t="str">
        <f>IF(OR(Таблица1821[[#This Row],[Столбец1]]="",Таблица1821[[#This Row],[Столбец4]]="отсутствует"),"",INDEX('Лист2'!$A$8:$O$179,MATCH(A42,'Лист2'!$B$8:$B$179,0),11))</f>
        <v/>
      </c>
      <c r="K42" s="55" t="str">
        <f>IF(OR(Таблица1821[[#This Row],[Столбец1]]="",Таблица1821[[#This Row],[Столбец4]]="отсутствует"),"",INDEX('Лист2'!$A$8:$O$179,MATCH(A42,'Лист2'!$B$8:$B$179,0),12))</f>
        <v/>
      </c>
      <c r="L42" s="55" t="str">
        <f>IF(OR(Таблица1821[[#This Row],[Столбец1]]="",Таблица1821[[#This Row],[Столбец4]]="отсутствует"),"",INDEX('Лист2'!$A$8:$O$179,MATCH(A42,'Лист2'!$B$8:$B$179,0),13))</f>
        <v/>
      </c>
      <c r="M42" s="55" t="str">
        <f>IF(OR(Таблица1821[[#This Row],[Столбец1]]="",Таблица1821[[#This Row],[Столбец4]]="отсутствует"),"",INDEX('Лист2'!$A$8:$O$179,MATCH(A42,'Лист2'!$B$8:$B$179,0),14))</f>
        <v/>
      </c>
      <c r="N42" s="56" t="str">
        <f>IF(Таблица1821[[#This Row],[Столбец1]]="","",IF(INDEX('Лист2'!$A$8:$O$179,MATCH(A42,'Лист2'!$B$8:$B$179,0),15)=0,"",INDEX('Лист2'!$A$8:$O$179,MATCH(A42,'Лист2'!$B$8:$B$179,0),15)))</f>
        <v/>
      </c>
      <c r="O42" s="58"/>
    </row>
    <row r="43" ht="33" customHeight="1">
      <c r="A43" s="59" t="s">
        <v>189</v>
      </c>
      <c r="B43" s="59"/>
      <c r="C43" s="59"/>
      <c r="D43" s="59"/>
      <c r="E43" s="60">
        <f>SUM(E40:E42)</f>
        <v>0</v>
      </c>
      <c r="F43" s="60">
        <f>SUM(F40:F42)</f>
        <v>0</v>
      </c>
      <c r="G43" s="60">
        <f>SUM(G40:G42)</f>
        <v>0</v>
      </c>
      <c r="H43" s="59"/>
      <c r="I43" s="61"/>
      <c r="J43" s="61"/>
      <c r="K43" s="61"/>
      <c r="L43" s="61"/>
      <c r="M43" s="61"/>
      <c r="N43" s="61"/>
      <c r="O43" s="58"/>
    </row>
    <row r="44" ht="90">
      <c r="A44" s="55" t="s">
        <v>190</v>
      </c>
      <c r="B44" s="55" t="str">
        <f>IF(Таблица182123[[#This Row],[Столбец1]]="","",INDEX(Лист2!$A$8:$O$179,MATCH(A44,Лист2!$B$8:$B$179,0),3))</f>
        <v>Эксплуатация</v>
      </c>
      <c r="C44" s="56" t="str">
        <f>IF(Таблица182123[[#This Row],[Столбец1]]="","",INDEX(Лист2!$A$8:$O$179,MATCH(A44,Лист2!$B$8:$B$179,0),4))</f>
        <v xml:space="preserve">Связь и Интернет</v>
      </c>
      <c r="D44" s="55" t="str">
        <f>IF(Таблица182123[[#This Row],[Столбец1]]="","",INDEX(Лист2!$A$8:$O$179,MATCH(A44,Лист2!$B$8:$B$14,0),5))</f>
        <v>отсутствует</v>
      </c>
      <c r="E44" s="57">
        <f>IF(Таблица182123[[#This Row],[Столбец1]]="","",INDEX(Лист2!$A$8:$O$179,MATCH(A44,Лист2!$B$8:$B$179,0),6))</f>
        <v>83.400000000000006</v>
      </c>
      <c r="F44" s="57">
        <f>IF(Таблица182123[[#This Row],[Столбец1]]="","",INDEX(Лист2!$A$8:$O$179,MATCH(A44,Лист2!$B$8:$B$179,0),7))</f>
        <v>83.400000000000006</v>
      </c>
      <c r="G44" s="57">
        <f>IF(Таблица182123[[#This Row],[Столбец1]]="","",INDEX(Лист2!$A$8:$O$179,MATCH(A44,Лист2!$B$8:$B$179,0),8))</f>
        <v>83.400000000000006</v>
      </c>
      <c r="H44" s="56" t="str">
        <f>IF(OR(Таблица182123[[#This Row],[Столбец1]]="",Таблица182123[[#This Row],[Столбец4]]="отсутствует"),"",INDEX(Лист2!$A$8:$O$179,MATCH(A44,Лист2!$B$8:$B$179,0),9))</f>
        <v/>
      </c>
      <c r="I44" s="55" t="str">
        <f>IF(OR(Таблица182123[[#This Row],[Столбец1]]="",Таблица182123[[#This Row],[Столбец4]]="отсутствует"),"",INDEX(Лист2!$A$8:$O$179,MATCH(A44,Лист2!$B$8:$B$179,0),10))</f>
        <v/>
      </c>
      <c r="J44" s="55" t="str">
        <f>IF(OR(Таблица182123[[#This Row],[Столбец1]]="",Таблица182123[[#This Row],[Столбец4]]="отсутствует"),"",INDEX(Лист2!$A$8:$O$179,MATCH(A44,Лист2!$B$8:$B$179,0),11))</f>
        <v/>
      </c>
      <c r="K44" s="55" t="str">
        <f>IF(OR(Таблица182123[[#This Row],[Столбец1]]="",Таблица182123[[#This Row],[Столбец4]]="отсутствует"),"",INDEX(Лист2!$A$8:$O$179,MATCH(A44,Лист2!$B$8:$B$179,0),12))</f>
        <v/>
      </c>
      <c r="L44" s="55" t="str">
        <f>IF(OR(Таблица182123[[#This Row],[Столбец1]]="",Таблица182123[[#This Row],[Столбец4]]="отсутствует"),"",INDEX(Лист2!$A$8:$O$179,MATCH(A44,Лист2!$B$8:$B$179,0),13))</f>
        <v/>
      </c>
      <c r="M44" s="55" t="str">
        <f>IF(OR(Таблица182123[[#This Row],[Столбец1]]="",Таблица182123[[#This Row],[Столбец4]]="отсутствует"),"",INDEX(Лист2!$A$8:$O$179,MATCH(A44,Лист2!$B$8:$B$179,0),14))</f>
        <v/>
      </c>
      <c r="N44" s="56" t="str">
        <f>IF(Таблица182123[[#This Row],[Столбец1]]="","",IF(INDEX(Лист2!$A$8:$O$179,MATCH(A44,Лист2!$B$8:$B$179,0),15)=0,"",INDEX(Лист2!$A$8:$O$179,MATCH(A44,Лист2!$B$8:$B$179,0),15)))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4" s="58"/>
    </row>
    <row r="45" ht="90">
      <c r="A45" s="55" t="s">
        <v>191</v>
      </c>
      <c r="B45" s="55" t="str">
        <f>IF(Таблица182123[[#This Row],[Столбец1]]="","",INDEX('Лист2'!$A$8:$O$179,MATCH(A45,'Лист2'!$B$8:$B$179,0),3))</f>
        <v>Эксплуатация</v>
      </c>
      <c r="C45" s="56" t="str">
        <f>IF(Таблица182123[[#This Row],[Столбец1]]="","",INDEX('Лист2'!$A$8:$O$179,MATCH(A45,'Лист2'!$B$8:$B$179,0),4))</f>
        <v>Оргтехника</v>
      </c>
      <c r="D45" s="55" t="str">
        <f>IF(Таблица182123[[#This Row],[Столбец1]]="","",INDEX('Лист2'!$A$8:$O$179,MATCH(A45,'Лист2'!$B$8:$B$14,0),5))</f>
        <v>отсутствует</v>
      </c>
      <c r="E45" s="57">
        <f>IF(Таблица182123[[#This Row],[Столбец1]]="","",INDEX('Лист2'!$A$8:$O$179,MATCH(A45,'Лист2'!$B$8:$B$179,0),6))</f>
        <v>165</v>
      </c>
      <c r="F45" s="57">
        <f>IF(Таблица182123[[#This Row],[Столбец1]]="","",INDEX('Лист2'!$A$8:$O$179,MATCH(A45,'Лист2'!$B$8:$B$179,0),7))</f>
        <v>165</v>
      </c>
      <c r="G45" s="57">
        <f>IF(Таблица182123[[#This Row],[Столбец1]]="","",INDEX('Лист2'!$A$8:$O$179,MATCH(A45,'Лист2'!$B$8:$B$179,0),8))</f>
        <v>165</v>
      </c>
      <c r="H45" s="56" t="str">
        <f>IF(OR(Таблица182123[[#This Row],[Столбец1]]="",Таблица182123[[#This Row],[Столбец4]]="отсутствует"),"",INDEX('Лист2'!$A$8:$O$179,MATCH(A45,'Лист2'!$B$8:$B$179,0),9))</f>
        <v/>
      </c>
      <c r="I45" s="55" t="str">
        <f>IF(OR(Таблица182123[[#This Row],[Столбец1]]="",Таблица182123[[#This Row],[Столбец4]]="отсутствует"),"",INDEX('Лист2'!$A$8:$O$179,MATCH(A45,'Лист2'!$B$8:$B$179,0),10))</f>
        <v/>
      </c>
      <c r="J45" s="55" t="str">
        <f>IF(OR(Таблица182123[[#This Row],[Столбец1]]="",Таблица182123[[#This Row],[Столбец4]]="отсутствует"),"",INDEX('Лист2'!$A$8:$O$179,MATCH(A45,'Лист2'!$B$8:$B$179,0),11))</f>
        <v/>
      </c>
      <c r="K45" s="55" t="str">
        <f>IF(OR(Таблица182123[[#This Row],[Столбец1]]="",Таблица182123[[#This Row],[Столбец4]]="отсутствует"),"",INDEX('Лист2'!$A$8:$O$179,MATCH(A45,'Лист2'!$B$8:$B$179,0),12))</f>
        <v/>
      </c>
      <c r="L45" s="55" t="str">
        <f>IF(OR(Таблица182123[[#This Row],[Столбец1]]="",Таблица182123[[#This Row],[Столбец4]]="отсутствует"),"",INDEX('Лист2'!$A$8:$O$179,MATCH(A45,'Лист2'!$B$8:$B$179,0),13))</f>
        <v/>
      </c>
      <c r="M45" s="55" t="str">
        <f>IF(OR(Таблица182123[[#This Row],[Столбец1]]="",Таблица182123[[#This Row],[Столбец4]]="отсутствует"),"",INDEX('Лист2'!$A$8:$O$179,MATCH(A45,'Лист2'!$B$8:$B$179,0),14))</f>
        <v/>
      </c>
      <c r="N45" s="56" t="str">
        <f>IF(Таблица182123[[#This Row],[Столбец1]]="","",IF(INDEX('Лист2'!$A$8:$O$179,MATCH(A45,'Лист2'!$B$8:$B$179,0),15)=0,"",INDEX('Лист2'!$A$8:$O$179,MATCH(A45,'Лист2'!$B$8:$B$179,0),15)))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области»; основное мероприятие 1.4 "Развитие архивного дела"</v>
      </c>
      <c r="O45" s="58"/>
    </row>
    <row r="46" ht="105">
      <c r="A46" s="55" t="s">
        <v>192</v>
      </c>
      <c r="B46" s="55" t="str">
        <f>IF(Таблица182123[[#This Row],[Столбец1]]="","",INDEX('Лист2'!$A$8:$O$179,MATCH(A46,'Лист2'!$B$8:$B$179,0),3))</f>
        <v>Эксплуатация</v>
      </c>
      <c r="C46" s="56" t="str">
        <f>IF(Таблица182123[[#This Row],[Столбец1]]="","",INDEX('Лист2'!$A$8:$O$179,MATCH(A46,'Лист2'!$B$8:$B$179,0),4))</f>
        <v xml:space="preserve">Система электронной отчетности "Контур.Экстерн"</v>
      </c>
      <c r="D46" s="55" t="str">
        <f>IF(Таблица182123[[#This Row],[Столбец1]]="","",INDEX('Лист2'!$A$8:$O$179,MATCH(A46,'Лист2'!$B$8:$B$14,0),5))</f>
        <v>отсутствует</v>
      </c>
      <c r="E46" s="57">
        <f>IF(Таблица182123[[#This Row],[Столбец1]]="","",INDEX('Лист2'!$A$8:$O$179,MATCH(A46,'Лист2'!$B$8:$B$179,0),6))</f>
        <v>1.6000000000000001</v>
      </c>
      <c r="F46" s="57">
        <f>IF(Таблица182123[[#This Row],[Столбец1]]="","",INDEX('Лист2'!$A$8:$O$179,MATCH(A46,'Лист2'!$B$8:$B$179,0),7))</f>
        <v>1.6000000000000001</v>
      </c>
      <c r="G46" s="57">
        <f>IF(Таблица182123[[#This Row],[Столбец1]]="","",INDEX('Лист2'!$A$8:$O$179,MATCH(A46,'Лист2'!$B$8:$B$179,0),8))</f>
        <v>1.6000000000000001</v>
      </c>
      <c r="H46" s="56" t="str">
        <f>IF(OR(Таблица182123[[#This Row],[Столбец1]]="",Таблица182123[[#This Row],[Столбец4]]="отсутствует"),"",INDEX('Лист2'!$A$8:$O$179,MATCH(A46,'Лист2'!$B$8:$B$179,0),9))</f>
        <v/>
      </c>
      <c r="I46" s="55" t="str">
        <f>IF(OR(Таблица182123[[#This Row],[Столбец1]]="",Таблица182123[[#This Row],[Столбец4]]="отсутствует"),"",INDEX('Лист2'!$A$8:$O$179,MATCH(A46,'Лист2'!$B$8:$B$179,0),10))</f>
        <v/>
      </c>
      <c r="J46" s="55" t="str">
        <f>IF(OR(Таблица182123[[#This Row],[Столбец1]]="",Таблица182123[[#This Row],[Столбец4]]="отсутствует"),"",INDEX('Лист2'!$A$8:$O$179,MATCH(A46,'Лист2'!$B$8:$B$179,0),11))</f>
        <v/>
      </c>
      <c r="K46" s="55" t="str">
        <f>IF(OR(Таблица182123[[#This Row],[Столбец1]]="",Таблица182123[[#This Row],[Столбец4]]="отсутствует"),"",INDEX('Лист2'!$A$8:$O$179,MATCH(A46,'Лист2'!$B$8:$B$179,0),12))</f>
        <v/>
      </c>
      <c r="L46" s="55" t="str">
        <f>IF(OR(Таблица182123[[#This Row],[Столбец1]]="",Таблица182123[[#This Row],[Столбец4]]="отсутствует"),"",INDEX('Лист2'!$A$8:$O$179,MATCH(A46,'Лист2'!$B$8:$B$179,0),13))</f>
        <v/>
      </c>
      <c r="M46" s="55" t="str">
        <f>IF(OR(Таблица182123[[#This Row],[Столбец1]]="",Таблица182123[[#This Row],[Столбец4]]="отсутствует"),"",INDEX('Лист2'!$A$8:$O$179,MATCH(A46,'Лист2'!$B$8:$B$179,0),14))</f>
        <v/>
      </c>
      <c r="N46" s="56" t="str">
        <f>IF(Таблица182123[[#This Row],[Столбец1]]="","",IF(INDEX('Лист2'!$A$8:$O$179,MATCH(A46,'Лист2'!$B$8:$B$179,0),15)=0,"",INDEX('Лист2'!$A$8:$O$179,MATCH(A46,'Лист2'!$B$8:$B$179,0),15)))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6" s="58"/>
    </row>
    <row r="47" ht="105">
      <c r="A47" s="55" t="s">
        <v>192</v>
      </c>
      <c r="B47" s="55" t="str">
        <f>IF(Таблица182123[[#This Row],[Столбец1]]="","",INDEX('Лист2'!$A$8:$O$179,MATCH(A47,'Лист2'!$B$8:$B$179,0),3))</f>
        <v>Эксплуатация</v>
      </c>
      <c r="C47" s="62" t="str">
        <f>'Р 1. "Общие сведения"'!D11</f>
        <v xml:space="preserve">Программное обеспечение</v>
      </c>
      <c r="D47" s="55" t="s">
        <v>46</v>
      </c>
      <c r="E47" s="57">
        <f>'Р 5. Финансирование'!B12</f>
        <v>13.5</v>
      </c>
      <c r="F47" s="57">
        <f>'Р 5. Финансирование'!C12</f>
        <v>13.5</v>
      </c>
      <c r="G47" s="57">
        <f>'Р 5. Финансирование'!D12</f>
        <v>13.5</v>
      </c>
      <c r="H47" s="56"/>
      <c r="I47" s="55"/>
      <c r="J47" s="55"/>
      <c r="K47" s="55"/>
      <c r="L47" s="55"/>
      <c r="M47" s="55"/>
      <c r="N47" s="56" t="str">
        <f>IF(Таблица182123[[#This Row],[Столбец1]]="","",IF(INDEX('Лист2'!$A$8:$O$179,MATCH(A47,'Лист2'!$B$8:$B$179,0),15)=0,"",INDEX('Лист2'!$A$8:$O$179,MATCH(A47,'Лист2'!$B$8:$B$179,0),15)))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на 2019–2024 годы»"; основное мероприятие 1.4 "Развитие архивного дела"</v>
      </c>
      <c r="O47" s="58"/>
    </row>
    <row r="48" ht="90">
      <c r="A48" s="55" t="s">
        <v>193</v>
      </c>
      <c r="B48" s="55" t="str">
        <f>IF(Таблица182123[[#This Row],[Столбец1]]="","",INDEX('Лист2'!$A$8:$O$179,MATCH(A48,'Лист2'!$B$8:$B$179,0),3))</f>
        <v>Эксплуатация</v>
      </c>
      <c r="C48" s="56" t="str">
        <f>IF(Таблица182123[[#This Row],[Столбец1]]="","",INDEX(Лист2!$A$8:$O$179,MATCH(A48,Лист2!$B$8:$B$179,0),4))</f>
        <v xml:space="preserve"> Создание АРМ, оборудование для ЛВС</v>
      </c>
      <c r="D48" s="55" t="str">
        <f>IF(Таблица182123[[#This Row],[Столбец1]]="","",INDEX('Лист2'!$A$8:$O$179,MATCH(A48,'Лист2'!$B$8:$B$14,0),5))</f>
        <v>отсутствует</v>
      </c>
      <c r="E48" s="57">
        <f>IF(Таблица182123[[#This Row],[Столбец1]]="","",INDEX(Лист2!$A$8:$O$179,MATCH(A48,Лист2!$B$8:$B$179,0),6))</f>
        <v>65.5</v>
      </c>
      <c r="F48" s="57">
        <f>IF(Таблица182123[[#This Row],[Столбец1]]="","",INDEX(Лист2!$A$8:$O$179,MATCH(A48,Лист2!$B$8:$B$179,0),7))</f>
        <v>65.5</v>
      </c>
      <c r="G48" s="57">
        <f>IF(Таблица182123[[#This Row],[Столбец1]]="","",INDEX(Лист2!$A$8:$O$179,MATCH(A48,Лист2!$B$8:$B$179,0),8))</f>
        <v>65.5</v>
      </c>
      <c r="H48" s="56" t="str">
        <f>IF(OR(Таблица182123[[#This Row],[Столбец1]]="",Таблица182123[[#This Row],[Столбец4]]="отсутствует"),"",INDEX('Лист2'!$A$8:$O$179,MATCH(A48,'Лист2'!$B$8:$B$179,0),9))</f>
        <v/>
      </c>
      <c r="I48" s="55" t="str">
        <f>IF(OR(Таблица182123[[#This Row],[Столбец1]]="",Таблица182123[[#This Row],[Столбец4]]="отсутствует"),"",INDEX('Лист2'!$A$8:$O$179,MATCH(A48,'Лист2'!$B$8:$B$179,0),10))</f>
        <v/>
      </c>
      <c r="J48" s="55" t="str">
        <f>IF(OR(Таблица182123[[#This Row],[Столбец1]]="",Таблица182123[[#This Row],[Столбец4]]="отсутствует"),"",INDEX('Лист2'!$A$8:$O$179,MATCH(A48,'Лист2'!$B$8:$B$179,0),11))</f>
        <v/>
      </c>
      <c r="K48" s="55" t="str">
        <f>IF(OR(Таблица182123[[#This Row],[Столбец1]]="",Таблица182123[[#This Row],[Столбец4]]="отсутствует"),"",INDEX('Лист2'!$A$8:$O$179,MATCH(A48,'Лист2'!$B$8:$B$179,0),12))</f>
        <v/>
      </c>
      <c r="L48" s="55" t="str">
        <f>IF(OR(Таблица182123[[#This Row],[Столбец1]]="",Таблица182123[[#This Row],[Столбец4]]="отсутствует"),"",INDEX('Лист2'!$A$8:$O$179,MATCH(A48,'Лист2'!$B$8:$B$179,0),13))</f>
        <v/>
      </c>
      <c r="M48" s="55" t="str">
        <f>IF(OR(Таблица182123[[#This Row],[Столбец1]]="",Таблица182123[[#This Row],[Столбец4]]="отсутствует"),"",INDEX('Лист2'!$A$8:$O$179,MATCH(A48,'Лист2'!$B$8:$B$179,0),14))</f>
        <v/>
      </c>
      <c r="N48" s="56" t="str">
        <f>IF(Таблица182123[[#This Row],[Столбец1]]="","",IF(INDEX('Лист2'!$A$8:$O$179,MATCH(A48,'Лист2'!$B$8:$B$179,0),15)=0,"",INDEX('Лист2'!$A$8:$O$179,MATCH(A48,'Лист2'!$B$8:$B$179,0),15)))</f>
        <v xml:space="preserve">Постановление Правительства Оренбургской области от 29.12.2018 № 915-пп «Об утверждении государственной программы «Развитие культуры Оренбургской области» ; основное мероприятие 1.4 "Развитие архивного дела"</v>
      </c>
      <c r="O48" s="58"/>
    </row>
    <row r="49" ht="15">
      <c r="A49" s="55" t="s">
        <v>194</v>
      </c>
      <c r="B49" s="55" t="str">
        <f>IF(Таблица182123[[#This Row],[Столбец1]]="","",INDEX('Лист2'!$A$8:$O$179,MATCH(A49,'Лист2'!$B$8:$B$179,0),3))</f>
        <v/>
      </c>
      <c r="C49" s="56" t="str">
        <f>IF(Таблица182123[[#This Row],[Столбец1]]="","",INDEX('Лист2'!$A$8:$O$179,MATCH(A49,'Лист2'!$B$8:$B$179,0),4))</f>
        <v/>
      </c>
      <c r="D49" s="55" t="str">
        <f>IF(Таблица182123[[#This Row],[Столбец1]]="","",INDEX(Лист2!$A$8:$O$179,MATCH(A49,Лист2!$B$8:$B$179,0),5))</f>
        <v/>
      </c>
      <c r="E49" s="57" t="str">
        <f>IF(Таблица182123[[#This Row],[Столбец1]]="","",INDEX('Лист2'!$A$8:$O$179,MATCH(A49,'Лист2'!$B$8:$B$179,0),6))</f>
        <v/>
      </c>
      <c r="F49" s="57" t="str">
        <f>IF(Таблица182123[[#This Row],[Столбец1]]="","",INDEX('Лист2'!$A$8:$O$179,MATCH(A49,'Лист2'!$B$8:$B$179,0),7))</f>
        <v/>
      </c>
      <c r="G49" s="57" t="str">
        <f>IF(Таблица182123[[#This Row],[Столбец1]]="","",INDEX('Лист2'!$A$8:$O$179,MATCH(A49,'Лист2'!$B$8:$B$179,0),8))</f>
        <v/>
      </c>
      <c r="H49" s="56"/>
      <c r="I49" s="55"/>
      <c r="J49" s="55"/>
      <c r="K49" s="55"/>
      <c r="L49" s="55"/>
      <c r="M49" s="55"/>
      <c r="N49" s="56" t="str">
        <f>IF(Таблица182123[[#This Row],[Столбец1]]="","",IF(INDEX('Лист2'!$A$8:$O$179,MATCH(A49,'Лист2'!$B$8:$B$179,0),15)=0,"",INDEX('Лист2'!$A$8:$O$179,MATCH(A49,'Лист2'!$B$8:$B$179,0),15)))</f>
        <v/>
      </c>
      <c r="O49" s="58"/>
    </row>
    <row r="50" ht="15">
      <c r="A50" s="55"/>
      <c r="B50" s="55" t="str">
        <f>IF(Таблица182123[[#This Row],[Столбец1]]="","",INDEX('Лист2'!$A$8:$O$179,MATCH(A50,'Лист2'!$B$8:$B$179,0),3))</f>
        <v/>
      </c>
      <c r="C50" s="56" t="str">
        <f>IF(Таблица182123[[#This Row],[Столбец1]]="","",INDEX('Лист2'!$A$8:$O$179,MATCH(A50,'Лист2'!$B$8:$B$179,0),4))</f>
        <v/>
      </c>
      <c r="D50" s="55" t="str">
        <f>IF(Таблица182123[[#This Row],[Столбец1]]="","",INDEX('Лист2'!$A$8:$O$179,MATCH(A50,'Лист2'!$B$8:$B$179,0),5))</f>
        <v/>
      </c>
      <c r="E50" s="57" t="str">
        <f>IF(Таблица182123[[#This Row],[Столбец1]]="","",INDEX('Лист2'!$A$8:$O$179,MATCH(A50,'Лист2'!$B$8:$B$179,0),6))</f>
        <v/>
      </c>
      <c r="F50" s="57" t="str">
        <f>IF(Таблица182123[[#This Row],[Столбец1]]="","",INDEX('Лист2'!$A$8:$O$179,MATCH(A50,'Лист2'!$B$8:$B$179,0),7))</f>
        <v/>
      </c>
      <c r="G50" s="57" t="str">
        <f>IF(Таблица182123[[#This Row],[Столбец1]]="","",INDEX('Лист2'!$A$8:$O$179,MATCH(A50,'Лист2'!$B$8:$B$179,0),8))</f>
        <v/>
      </c>
      <c r="H50" s="56"/>
      <c r="I50" s="55"/>
      <c r="J50" s="55"/>
      <c r="K50" s="55"/>
      <c r="L50" s="55"/>
      <c r="M50" s="55"/>
      <c r="N50" s="56" t="str">
        <f>IF(Таблица182123[[#This Row],[Столбец1]]="","",IF(INDEX('Лист2'!$A$8:$O$179,MATCH(A50,'Лист2'!$B$8:$B$179,0),15)=0,"",INDEX('Лист2'!$A$8:$O$179,MATCH(A50,'Лист2'!$B$8:$B$179,0),15)))</f>
        <v/>
      </c>
      <c r="O50" s="58"/>
    </row>
    <row r="51" ht="15">
      <c r="A51" s="55"/>
      <c r="B51" s="55" t="str">
        <f>IF(Таблица182123[[#This Row],[Столбец1]]="","",INDEX('Лист2'!$A$8:$O$179,MATCH(A51,'Лист2'!$B$8:$B$179,0),3))</f>
        <v/>
      </c>
      <c r="C51" s="56" t="str">
        <f>IF(Таблица182123[[#This Row],[Столбец1]]="","",INDEX('Лист2'!$A$8:$O$179,MATCH(A51,'Лист2'!$B$8:$B$179,0),4))</f>
        <v/>
      </c>
      <c r="D51" s="55" t="str">
        <f>IF(Таблица182123[[#This Row],[Столбец1]]="","",INDEX('Лист2'!$A$8:$O$179,MATCH(A51,'Лист2'!$B$8:$B$179,0),5))</f>
        <v/>
      </c>
      <c r="E51" s="57" t="str">
        <f>IF(Таблица182123[[#This Row],[Столбец1]]="","",INDEX('Лист2'!$A$8:$O$179,MATCH(A51,'Лист2'!$B$8:$B$179,0),6))</f>
        <v/>
      </c>
      <c r="F51" s="57" t="str">
        <f>IF(Таблица182123[[#This Row],[Столбец1]]="","",INDEX('Лист2'!$A$8:$O$179,MATCH(A51,'Лист2'!$B$8:$B$179,0),7))</f>
        <v/>
      </c>
      <c r="G51" s="57" t="str">
        <f>IF(Таблица182123[[#This Row],[Столбец1]]="","",INDEX('Лист2'!$A$8:$O$179,MATCH(A51,'Лист2'!$B$8:$B$179,0),8))</f>
        <v/>
      </c>
      <c r="H51" s="56" t="str">
        <f>IF(OR(Таблица182123[[#This Row],[Столбец1]]="",Таблица182123[[#This Row],[Столбец4]]="отсутствует"),"",INDEX('Лист2'!$A$8:$O$179,MATCH(A51,'Лист2'!$B$8:$B$179,0),9))</f>
        <v/>
      </c>
      <c r="I51" s="55" t="str">
        <f>IF(OR(Таблица182123[[#This Row],[Столбец1]]="",Таблица182123[[#This Row],[Столбец4]]="отсутствует"),"",INDEX('Лист2'!$A$8:$O$179,MATCH(A51,'Лист2'!$B$8:$B$179,0),10))</f>
        <v/>
      </c>
      <c r="J51" s="55" t="str">
        <f>IF(OR(Таблица182123[[#This Row],[Столбец1]]="",Таблица182123[[#This Row],[Столбец4]]="отсутствует"),"",INDEX('Лист2'!$A$8:$O$179,MATCH(A51,'Лист2'!$B$8:$B$179,0),11))</f>
        <v/>
      </c>
      <c r="K51" s="55" t="str">
        <f>IF(OR(Таблица182123[[#This Row],[Столбец1]]="",Таблица182123[[#This Row],[Столбец4]]="отсутствует"),"",INDEX('Лист2'!$A$8:$O$179,MATCH(A51,'Лист2'!$B$8:$B$179,0),12))</f>
        <v/>
      </c>
      <c r="L51" s="55" t="str">
        <f>IF(OR(Таблица182123[[#This Row],[Столбец1]]="",Таблица182123[[#This Row],[Столбец4]]="отсутствует"),"",INDEX('Лист2'!$A$8:$O$179,MATCH(A51,'Лист2'!$B$8:$B$179,0),13))</f>
        <v/>
      </c>
      <c r="M51" s="55" t="str">
        <f>IF(OR(Таблица182123[[#This Row],[Столбец1]]="",Таблица182123[[#This Row],[Столбец4]]="отсутствует"),"",INDEX('Лист2'!$A$8:$O$179,MATCH(A51,'Лист2'!$B$8:$B$179,0),14))</f>
        <v/>
      </c>
      <c r="N51" s="56" t="str">
        <f>IF(Таблица182123[[#This Row],[Столбец1]]="","",IF(INDEX('Лист2'!$A$8:$O$179,MATCH(A51,'Лист2'!$B$8:$B$179,0),15)=0,"",INDEX('Лист2'!$A$8:$O$179,MATCH(A51,'Лист2'!$B$8:$B$179,0),15)))</f>
        <v/>
      </c>
      <c r="O51" s="58"/>
    </row>
    <row r="52" ht="15">
      <c r="A52" s="55"/>
      <c r="B52" s="55" t="str">
        <f>IF(Таблица182123[[#This Row],[Столбец1]]="","",INDEX('Лист2'!$A$8:$O$179,MATCH(A52,'Лист2'!$B$8:$B$179,0),3))</f>
        <v/>
      </c>
      <c r="C52" s="56" t="str">
        <f>IF(Таблица182123[[#This Row],[Столбец1]]="","",INDEX('Лист2'!$A$8:$O$179,MATCH(A52,'Лист2'!$B$8:$B$179,0),4))</f>
        <v/>
      </c>
      <c r="D52" s="55" t="str">
        <f>IF(Таблица182123[[#This Row],[Столбец1]]="","",INDEX('Лист2'!$A$8:$O$179,MATCH(A52,'Лист2'!$B$8:$B$179,0),5))</f>
        <v/>
      </c>
      <c r="E52" s="57" t="str">
        <f>IF(Таблица182123[[#This Row],[Столбец1]]="","",INDEX('Лист2'!$A$8:$O$179,MATCH(A52,'Лист2'!$B$8:$B$179,0),6))</f>
        <v/>
      </c>
      <c r="F52" s="57" t="str">
        <f>IF(Таблица182123[[#This Row],[Столбец1]]="","",INDEX('Лист2'!$A$8:$O$179,MATCH(A52,'Лист2'!$B$8:$B$179,0),7))</f>
        <v/>
      </c>
      <c r="G52" s="57" t="str">
        <f>IF(Таблица182123[[#This Row],[Столбец1]]="","",INDEX('Лист2'!$A$8:$O$179,MATCH(A52,'Лист2'!$B$8:$B$179,0),8))</f>
        <v/>
      </c>
      <c r="H52" s="56" t="str">
        <f>IF(OR(Таблица182123[[#This Row],[Столбец1]]="",Таблица182123[[#This Row],[Столбец4]]="отсутствует"),"",INDEX(Лист2!$A$8:$O$14,MATCH(A52,Лист2!$B$8:$B$14,0),9))</f>
        <v/>
      </c>
      <c r="I52" s="55" t="str">
        <f>IF(OR(Таблица182123[[#This Row],[Столбец1]]="",Таблица182123[[#This Row],[Столбец4]]="отсутствует"),"",INDEX(Лист2!$A$8:$O$14,MATCH(A52,Лист2!$B$8:$B$14,0),10))</f>
        <v/>
      </c>
      <c r="J52" s="55" t="str">
        <f>IF(OR(Таблица182123[[#This Row],[Столбец1]]="",Таблица182123[[#This Row],[Столбец4]]="отсутствует"),"",INDEX(Лист2!$A$8:$O$14,MATCH(A52,Лист2!$B$8:$B$14,0),11))</f>
        <v/>
      </c>
      <c r="K52" s="55" t="str">
        <f>IF(OR(Таблица182123[[#This Row],[Столбец1]]="",Таблица182123[[#This Row],[Столбец4]]="отсутствует"),"",INDEX(Лист2!$A$8:$O$14,MATCH(A52,Лист2!$B$8:$B$14,0),12))</f>
        <v/>
      </c>
      <c r="L52" s="55" t="str">
        <f>IF(OR(Таблица182123[[#This Row],[Столбец1]]="",Таблица182123[[#This Row],[Столбец4]]="отсутствует"),"",INDEX(Лист2!$A$8:$O$14,MATCH(A52,Лист2!$B$8:$B$14,0),13))</f>
        <v/>
      </c>
      <c r="M52" s="55" t="str">
        <f>IF(OR(Таблица182123[[#This Row],[Столбец1]]="",Таблица182123[[#This Row],[Столбец4]]="отсутствует"),"",INDEX(Лист2!$A$8:$O$14,MATCH(A52,Лист2!$B$8:$B$14,0),14))</f>
        <v/>
      </c>
      <c r="N52" s="56" t="str">
        <f>IF(Таблица182123[[#This Row],[Столбец1]]="","",IF(INDEX(Лист2!$A$8:$O$14,MATCH(A52,Лист2!$B$8:$B$14,0),15)=0,"",INDEX(Лист2!$A$8:$O$14,MATCH(A52,Лист2!$B$8:$B$14,0),15)))</f>
        <v/>
      </c>
      <c r="O52" s="58"/>
    </row>
    <row r="53" ht="15">
      <c r="A53" s="55"/>
      <c r="B53" s="55" t="str">
        <f>IF(Таблица182123[[#This Row],[Столбец1]]="","",INDEX('Лист2'!$A$8:$O$179,MATCH(A53,'Лист2'!$B$8:$B$179,0),3))</f>
        <v/>
      </c>
      <c r="C53" s="56" t="str">
        <f>IF(Таблица182123[[#This Row],[Столбец1]]="","",INDEX('Лист2'!$A$8:$O$179,MATCH(A53,'Лист2'!$B$8:$B$179,0),4))</f>
        <v/>
      </c>
      <c r="D53" s="55" t="str">
        <f>IF(Таблица182123[[#This Row],[Столбец1]]="","",INDEX('Лист2'!$A$8:$O$179,MATCH(A53,'Лист2'!$B$8:$B$179,0),5))</f>
        <v/>
      </c>
      <c r="E53" s="57" t="str">
        <f>IF(Таблица182123[[#This Row],[Столбец1]]="","",INDEX('Лист2'!$A$8:$O$179,MATCH(A53,'Лист2'!$B$8:$B$179,0),6))</f>
        <v/>
      </c>
      <c r="F53" s="57" t="str">
        <f>IF(Таблица182123[[#This Row],[Столбец1]]="","",INDEX('Лист2'!$A$8:$O$179,MATCH(A53,'Лист2'!$B$8:$B$179,0),7))</f>
        <v/>
      </c>
      <c r="G53" s="57" t="str">
        <f>IF(Таблица182123[[#This Row],[Столбец1]]="","",INDEX('Лист2'!$A$8:$O$179,MATCH(A53,'Лист2'!$B$8:$B$179,0),8))</f>
        <v/>
      </c>
      <c r="H53" s="56" t="str">
        <f>IF(OR(Таблица182123[[#This Row],[Столбец1]]="",Таблица182123[[#This Row],[Столбец4]]="отсутствует"),"",INDEX('Лист2'!$A$8:$O$14,MATCH(A53,'Лист2'!$B$8:$B$14,0),9))</f>
        <v/>
      </c>
      <c r="I53" s="55" t="str">
        <f>IF(OR(Таблица182123[[#This Row],[Столбец1]]="",Таблица182123[[#This Row],[Столбец4]]="отсутствует"),"",INDEX('Лист2'!$A$8:$O$14,MATCH(A53,'Лист2'!$B$8:$B$14,0),10))</f>
        <v/>
      </c>
      <c r="J53" s="55" t="str">
        <f>IF(OR(Таблица182123[[#This Row],[Столбец1]]="",Таблица182123[[#This Row],[Столбец4]]="отсутствует"),"",INDEX('Лист2'!$A$8:$O$14,MATCH(A53,'Лист2'!$B$8:$B$14,0),11))</f>
        <v/>
      </c>
      <c r="K53" s="55" t="str">
        <f>IF(OR(Таблица182123[[#This Row],[Столбец1]]="",Таблица182123[[#This Row],[Столбец4]]="отсутствует"),"",INDEX('Лист2'!$A$8:$O$14,MATCH(A53,'Лист2'!$B$8:$B$14,0),12))</f>
        <v/>
      </c>
      <c r="L53" s="55" t="str">
        <f>IF(OR(Таблица182123[[#This Row],[Столбец1]]="",Таблица182123[[#This Row],[Столбец4]]="отсутствует"),"",INDEX('Лист2'!$A$8:$O$14,MATCH(A53,'Лист2'!$B$8:$B$14,0),13))</f>
        <v/>
      </c>
      <c r="M53" s="55" t="str">
        <f>IF(OR(Таблица182123[[#This Row],[Столбец1]]="",Таблица182123[[#This Row],[Столбец4]]="отсутствует"),"",INDEX('Лист2'!$A$8:$O$14,MATCH(A53,'Лист2'!$B$8:$B$14,0),14))</f>
        <v/>
      </c>
      <c r="N53" s="56" t="str">
        <f>IF(Таблица182123[[#This Row],[Столбец1]]="","",IF(INDEX('Лист2'!$A$8:$O$14,MATCH(A53,'Лист2'!$B$8:$B$14,0),15)=0,"",INDEX('Лист2'!$A$8:$O$14,MATCH(A53,'Лист2'!$B$8:$B$14,0),15)))</f>
        <v/>
      </c>
      <c r="O53" s="58"/>
    </row>
    <row r="54" ht="36" customHeight="1">
      <c r="A54" s="59" t="s">
        <v>195</v>
      </c>
      <c r="B54" s="59"/>
      <c r="C54" s="59"/>
      <c r="D54" s="59"/>
      <c r="E54" s="60">
        <f>SUBTOTAL(109,Таблица182123[[#All],[Столбец5]])</f>
        <v>329</v>
      </c>
      <c r="F54" s="60">
        <f>SUBTOTAL(109,Таблица182123[[#All],[Столбец6]])</f>
        <v>329</v>
      </c>
      <c r="G54" s="60">
        <f>SUBTOTAL(109,Таблица182123[[#All],[Столбец7]])</f>
        <v>329</v>
      </c>
      <c r="H54" s="59"/>
      <c r="I54" s="61"/>
      <c r="J54" s="61"/>
      <c r="K54" s="61"/>
      <c r="L54" s="61"/>
      <c r="M54" s="61"/>
      <c r="N54" s="61"/>
      <c r="O54" s="58"/>
    </row>
    <row r="55" ht="15">
      <c r="A55" s="55"/>
      <c r="B55" s="55" t="str">
        <f>IF(Таблица182124[[#This Row],[Столбец1]]="","",INDEX(Лист2!$A$8:$O$179,MATCH(A55,Лист2!$B$8:$B$179,0),3))</f>
        <v/>
      </c>
      <c r="C55" s="56" t="str">
        <f>IF(Таблица182124[[#This Row],[Столбец1]]="","",INDEX(Лист2!$A$8:$O$179,MATCH(A55,Лист2!$B$8:$B$179,0),4))</f>
        <v/>
      </c>
      <c r="D55" s="55" t="str">
        <f>IF(Таблица182124[[#This Row],[Столбец1]]="","",INDEX(Лист2!$A$8:$O$179,MATCH(A55,Лист2!$B$8:$B$179,0),5))</f>
        <v/>
      </c>
      <c r="E55" s="57" t="str">
        <f>IF(Таблица182124[[#This Row],[Столбец1]]="","",INDEX(Лист2!$A$8:$O$179,MATCH(A55,Лист2!$B$8:$B$179,0),6))</f>
        <v/>
      </c>
      <c r="F55" s="57" t="str">
        <f>IF(Таблица182124[[#This Row],[Столбец1]]="","",INDEX(Лист2!$A$8:$O$179,MATCH(A55,Лист2!$B$8:$B$179,0),7))</f>
        <v/>
      </c>
      <c r="G55" s="57" t="str">
        <f>IF(Таблица182124[[#This Row],[Столбец1]]="","",INDEX(Лист2!$A$8:$O$179,MATCH(A55,Лист2!$B$8:$B$179,0),8))</f>
        <v/>
      </c>
      <c r="H55" s="56" t="str">
        <f>IF(OR(Таблица182124[[#This Row],[Столбец1]]="",Таблица182124[[#This Row],[Столбец4]]="отсутствует"),"",INDEX(Лист2!$A$8:$O$179,MATCH(A55,Лист2!$B$8:$B$179,0),9))</f>
        <v/>
      </c>
      <c r="I55" s="55" t="str">
        <f>IF(OR(Таблица182124[[#This Row],[Столбец1]]="",Таблица182124[[#This Row],[Столбец4]]="отсутствует"),"",INDEX(Лист2!$A$8:$O$179,MATCH(A55,Лист2!$B$8:$B$179,0),10))</f>
        <v/>
      </c>
      <c r="J55" s="55" t="str">
        <f>IF(OR(Таблица182124[[#This Row],[Столбец1]]="",Таблица182124[[#This Row],[Столбец4]]="отсутствует"),"",INDEX(Лист2!$A$8:$O$179,MATCH(A55,Лист2!$B$8:$B$179,0),11))</f>
        <v/>
      </c>
      <c r="K55" s="55" t="str">
        <f>IF(OR(Таблица182124[[#This Row],[Столбец1]]="",Таблица182124[[#This Row],[Столбец4]]="отсутствует"),"",INDEX(Лист2!$A$8:$O$179,MATCH(A55,Лист2!$B$8:$B$179,0),12))</f>
        <v/>
      </c>
      <c r="L55" s="55" t="str">
        <f>IF(OR(Таблица182124[[#This Row],[Столбец1]]="",Таблица182124[[#This Row],[Столбец4]]="отсутствует"),"",INDEX(Лист2!$A$8:$O$179,MATCH(A55,Лист2!$B$8:$B$179,0),13))</f>
        <v/>
      </c>
      <c r="M55" s="55" t="str">
        <f>IF(OR(Таблица182124[[#This Row],[Столбец1]]="",Таблица182124[[#This Row],[Столбец4]]="отсутствует"),"",INDEX(Лист2!$A$8:$O$179,MATCH(A55,Лист2!$B$8:$B$179,0),14))</f>
        <v/>
      </c>
      <c r="N55" s="56" t="str">
        <f>IF(Таблица182124[[#This Row],[Столбец1]]="","",IF(INDEX(Лист2!$A$8:$O$179,MATCH(A55,Лист2!$B$8:$B$179,0),15)=0,"",INDEX(Лист2!$A$8:$O$179,MATCH(A55,Лист2!$B$8:$B$179,0),15)))</f>
        <v/>
      </c>
      <c r="O55" s="58"/>
    </row>
    <row r="56" ht="15">
      <c r="A56" s="63"/>
      <c r="B56" s="64" t="str">
        <f>IF(Таблица182124[[#This Row],[Столбец1]]="","",INDEX('Лист2'!$A$8:$O$179,MATCH(A56,'Лист2'!$B$8:$B$179,0),3))</f>
        <v/>
      </c>
      <c r="C56" s="65" t="str">
        <f>IF(Таблица182124[[#This Row],[Столбец1]]="","",INDEX('Лист2'!$A$8:$O$179,MATCH(A56,'Лист2'!$B$8:$B$179,0),4))</f>
        <v/>
      </c>
      <c r="D56" s="64" t="str">
        <f>IF(Таблица182124[[#This Row],[Столбец1]]="","",INDEX('Лист2'!$A$8:$O$179,MATCH(A56,'Лист2'!$B$8:$B$179,0),5))</f>
        <v/>
      </c>
      <c r="E56" s="66" t="str">
        <f>IF(Таблица182124[[#This Row],[Столбец1]]="","",INDEX('Лист2'!$A$8:$O$179,MATCH(A56,'Лист2'!$B$8:$B$179,0),6))</f>
        <v/>
      </c>
      <c r="F56" s="66" t="str">
        <f>IF(Таблица182124[[#This Row],[Столбец1]]="","",INDEX('Лист2'!$A$8:$O$179,MATCH(A56,'Лист2'!$B$8:$B$179,0),7))</f>
        <v/>
      </c>
      <c r="G56" s="66" t="str">
        <f>IF(Таблица182124[[#This Row],[Столбец1]]="","",INDEX('Лист2'!$A$8:$O$179,MATCH(A56,'Лист2'!$B$8:$B$179,0),8))</f>
        <v/>
      </c>
      <c r="H56" s="65" t="str">
        <f>IF(OR(Таблица182124[[#This Row],[Столбец1]]="",Таблица182124[[#This Row],[Столбец4]]="отсутствует"),"",INDEX('Лист2'!$A$8:$O$179,MATCH(A56,'Лист2'!$B$8:$B$179,0),9))</f>
        <v/>
      </c>
      <c r="I56" s="64" t="str">
        <f>IF(OR(Таблица182124[[#This Row],[Столбец1]]="",Таблица182124[[#This Row],[Столбец4]]="отсутствует"),"",INDEX('Лист2'!$A$8:$O$179,MATCH(A56,'Лист2'!$B$8:$B$179,0),10))</f>
        <v/>
      </c>
      <c r="J56" s="64" t="str">
        <f>IF(OR(Таблица182124[[#This Row],[Столбец1]]="",Таблица182124[[#This Row],[Столбец4]]="отсутствует"),"",INDEX('Лист2'!$A$8:$O$179,MATCH(A56,'Лист2'!$B$8:$B$179,0),11))</f>
        <v/>
      </c>
      <c r="K56" s="64" t="str">
        <f>IF(OR(Таблица182124[[#This Row],[Столбец1]]="",Таблица182124[[#This Row],[Столбец4]]="отсутствует"),"",INDEX('Лист2'!$A$8:$O$179,MATCH(A56,'Лист2'!$B$8:$B$179,0),12))</f>
        <v/>
      </c>
      <c r="L56" s="64" t="str">
        <f>IF(OR(Таблица182124[[#This Row],[Столбец1]]="",Таблица182124[[#This Row],[Столбец4]]="отсутствует"),"",INDEX('Лист2'!$A$8:$O$179,MATCH(A56,'Лист2'!$B$8:$B$179,0),13))</f>
        <v/>
      </c>
      <c r="M56" s="64" t="str">
        <f>IF(OR(Таблица182124[[#This Row],[Столбец1]]="",Таблица182124[[#This Row],[Столбец4]]="отсутствует"),"",INDEX('Лист2'!$A$8:$O$179,MATCH(A56,'Лист2'!$B$8:$B$179,0),14))</f>
        <v/>
      </c>
      <c r="N56" s="67" t="str">
        <f>IF(Таблица182124[[#This Row],[Столбец1]]="","",IF(INDEX('Лист2'!$A$8:$O$179,MATCH(A56,'Лист2'!$B$8:$B$179,0),15)=0,"",INDEX('Лист2'!$A$8:$O$179,MATCH(A56,'Лист2'!$B$8:$B$179,0),15)))</f>
        <v/>
      </c>
      <c r="O56" s="58"/>
    </row>
    <row r="57" ht="15">
      <c r="A57" s="63"/>
      <c r="B57" s="64" t="str">
        <f>IF(Таблица182124[[#This Row],[Столбец1]]="","",INDEX('Лист2'!$A$8:$O$179,MATCH(A57,'Лист2'!$B$8:$B$179,0),3))</f>
        <v/>
      </c>
      <c r="C57" s="65" t="str">
        <f>IF(Таблица182124[[#This Row],[Столбец1]]="","",INDEX('Лист2'!$A$8:$O$179,MATCH(A57,'Лист2'!$B$8:$B$179,0),4))</f>
        <v/>
      </c>
      <c r="D57" s="64" t="str">
        <f>IF(Таблица182124[[#This Row],[Столбец1]]="","",INDEX('Лист2'!$A$8:$O$179,MATCH(A57,'Лист2'!$B$8:$B$179,0),5))</f>
        <v/>
      </c>
      <c r="E57" s="66" t="str">
        <f>IF(Таблица182124[[#This Row],[Столбец1]]="","",INDEX('Лист2'!$A$8:$O$179,MATCH(A57,'Лист2'!$B$8:$B$179,0),6))</f>
        <v/>
      </c>
      <c r="F57" s="66" t="str">
        <f>IF(Таблица182124[[#This Row],[Столбец1]]="","",INDEX('Лист2'!$A$8:$O$179,MATCH(A57,'Лист2'!$B$8:$B$179,0),7))</f>
        <v/>
      </c>
      <c r="G57" s="66" t="str">
        <f>IF(Таблица182124[[#This Row],[Столбец1]]="","",INDEX('Лист2'!$A$8:$O$179,MATCH(A57,'Лист2'!$B$8:$B$179,0),8))</f>
        <v/>
      </c>
      <c r="H57" s="65" t="str">
        <f>IF(OR(Таблица182124[[#This Row],[Столбец1]]="",Таблица182124[[#This Row],[Столбец4]]="отсутствует"),"",INDEX('Лист2'!$A$8:$O$179,MATCH(A57,'Лист2'!$B$8:$B$179,0),9))</f>
        <v/>
      </c>
      <c r="I57" s="64" t="str">
        <f>IF(OR(Таблица182124[[#This Row],[Столбец1]]="",Таблица182124[[#This Row],[Столбец4]]="отсутствует"),"",INDEX('Лист2'!$A$8:$O$179,MATCH(A57,'Лист2'!$B$8:$B$179,0),10))</f>
        <v/>
      </c>
      <c r="J57" s="64" t="str">
        <f>IF(OR(Таблица182124[[#This Row],[Столбец1]]="",Таблица182124[[#This Row],[Столбец4]]="отсутствует"),"",INDEX('Лист2'!$A$8:$O$179,MATCH(A57,'Лист2'!$B$8:$B$179,0),11))</f>
        <v/>
      </c>
      <c r="K57" s="64" t="str">
        <f>IF(OR(Таблица182124[[#This Row],[Столбец1]]="",Таблица182124[[#This Row],[Столбец4]]="отсутствует"),"",INDEX('Лист2'!$A$8:$O$179,MATCH(A57,'Лист2'!$B$8:$B$179,0),12))</f>
        <v/>
      </c>
      <c r="L57" s="64" t="str">
        <f>IF(OR(Таблица182124[[#This Row],[Столбец1]]="",Таблица182124[[#This Row],[Столбец4]]="отсутствует"),"",INDEX('Лист2'!$A$8:$O$179,MATCH(A57,'Лист2'!$B$8:$B$179,0),13))</f>
        <v/>
      </c>
      <c r="M57" s="64" t="str">
        <f>IF(OR(Таблица182124[[#This Row],[Столбец1]]="",Таблица182124[[#This Row],[Столбец4]]="отсутствует"),"",INDEX('Лист2'!$A$8:$O$179,MATCH(A57,'Лист2'!$B$8:$B$179,0),14))</f>
        <v/>
      </c>
      <c r="N57" s="67" t="str">
        <f>IF(Таблица182124[[#This Row],[Столбец1]]="","",IF(INDEX('Лист2'!$A$8:$O$179,MATCH(A57,'Лист2'!$B$8:$B$179,0),15)=0,"",INDEX('Лист2'!$A$8:$O$179,MATCH(A57,'Лист2'!$B$8:$B$179,0),15)))</f>
        <v/>
      </c>
      <c r="O57" s="58"/>
    </row>
    <row r="58" ht="15">
      <c r="A58" s="63"/>
      <c r="B58" s="64" t="str">
        <f>IF(Таблица182124[[#This Row],[Столбец1]]="","",INDEX('Лист2'!$A$8:$O$179,MATCH(A58,'Лист2'!$B$8:$B$179,0),3))</f>
        <v/>
      </c>
      <c r="C58" s="65" t="str">
        <f>IF(Таблица182124[[#This Row],[Столбец1]]="","",INDEX('Лист2'!$A$8:$O$179,MATCH(A58,'Лист2'!$B$8:$B$179,0),4))</f>
        <v/>
      </c>
      <c r="D58" s="64" t="str">
        <f>IF(Таблица182124[[#This Row],[Столбец1]]="","",INDEX('Лист2'!$A$8:$O$179,MATCH(A58,'Лист2'!$B$8:$B$179,0),5))</f>
        <v/>
      </c>
      <c r="E58" s="66" t="str">
        <f>IF(Таблица182124[[#This Row],[Столбец1]]="","",INDEX('Лист2'!$A$8:$O$179,MATCH(A58,'Лист2'!$B$8:$B$179,0),6))</f>
        <v/>
      </c>
      <c r="F58" s="66" t="str">
        <f>IF(Таблица182124[[#This Row],[Столбец1]]="","",INDEX('Лист2'!$A$8:$O$179,MATCH(A58,'Лист2'!$B$8:$B$179,0),7))</f>
        <v/>
      </c>
      <c r="G58" s="66" t="str">
        <f>IF(Таблица182124[[#This Row],[Столбец1]]="","",INDEX('Лист2'!$A$8:$O$179,MATCH(A58,'Лист2'!$B$8:$B$179,0),8))</f>
        <v/>
      </c>
      <c r="H58" s="65" t="str">
        <f>IF(OR(Таблица182124[[#This Row],[Столбец1]]="",Таблица182124[[#This Row],[Столбец4]]="отсутствует"),"",INDEX('Лист2'!$A$8:$O$179,MATCH(A58,'Лист2'!$B$8:$B$179,0),9))</f>
        <v/>
      </c>
      <c r="I58" s="64" t="str">
        <f>IF(OR(Таблица182124[[#This Row],[Столбец1]]="",Таблица182124[[#This Row],[Столбец4]]="отсутствует"),"",INDEX('Лист2'!$A$8:$O$179,MATCH(A58,'Лист2'!$B$8:$B$179,0),10))</f>
        <v/>
      </c>
      <c r="J58" s="64" t="str">
        <f>IF(OR(Таблица182124[[#This Row],[Столбец1]]="",Таблица182124[[#This Row],[Столбец4]]="отсутствует"),"",INDEX('Лист2'!$A$8:$O$179,MATCH(A58,'Лист2'!$B$8:$B$179,0),11))</f>
        <v/>
      </c>
      <c r="K58" s="64" t="str">
        <f>IF(OR(Таблица182124[[#This Row],[Столбец1]]="",Таблица182124[[#This Row],[Столбец4]]="отсутствует"),"",INDEX('Лист2'!$A$8:$O$179,MATCH(A58,'Лист2'!$B$8:$B$179,0),12))</f>
        <v/>
      </c>
      <c r="L58" s="64" t="str">
        <f>IF(OR(Таблица182124[[#This Row],[Столбец1]]="",Таблица182124[[#This Row],[Столбец4]]="отсутствует"),"",INDEX('Лист2'!$A$8:$O$179,MATCH(A58,'Лист2'!$B$8:$B$179,0),13))</f>
        <v/>
      </c>
      <c r="M58" s="64" t="str">
        <f>IF(OR(Таблица182124[[#This Row],[Столбец1]]="",Таблица182124[[#This Row],[Столбец4]]="отсутствует"),"",INDEX('Лист2'!$A$8:$O$179,MATCH(A58,'Лист2'!$B$8:$B$179,0),14))</f>
        <v/>
      </c>
      <c r="N58" s="67" t="str">
        <f>IF(Таблица182124[[#This Row],[Столбец1]]="","",IF(INDEX('Лист2'!$A$8:$O$179,MATCH(A58,'Лист2'!$B$8:$B$179,0),15)=0,"",INDEX('Лист2'!$A$8:$O$179,MATCH(A58,'Лист2'!$B$8:$B$179,0),15)))</f>
        <v/>
      </c>
      <c r="O58" s="58"/>
    </row>
    <row r="59" ht="15">
      <c r="A59" s="63"/>
      <c r="B59" s="64" t="str">
        <f>IF(Таблица182124[[#This Row],[Столбец1]]="","",INDEX('Лист2'!$A$8:$O$179,MATCH(A59,'Лист2'!$B$8:$B$179,0),3))</f>
        <v/>
      </c>
      <c r="C59" s="65" t="str">
        <f>IF(Таблица182124[[#This Row],[Столбец1]]="","",INDEX('Лист2'!$A$8:$O$179,MATCH(A59,'Лист2'!$B$8:$B$179,0),4))</f>
        <v/>
      </c>
      <c r="D59" s="64" t="str">
        <f>IF(Таблица182124[[#This Row],[Столбец1]]="","",INDEX('Лист2'!$A$8:$O$179,MATCH(A59,'Лист2'!$B$8:$B$179,0),5))</f>
        <v/>
      </c>
      <c r="E59" s="66" t="str">
        <f>IF(Таблица182124[[#This Row],[Столбец1]]="","",INDEX('Лист2'!$A$8:$O$179,MATCH(A59,'Лист2'!$B$8:$B$179,0),6))</f>
        <v/>
      </c>
      <c r="F59" s="66" t="str">
        <f>IF(Таблица182124[[#This Row],[Столбец1]]="","",INDEX('Лист2'!$A$8:$O$179,MATCH(A59,'Лист2'!$B$8:$B$179,0),7))</f>
        <v/>
      </c>
      <c r="G59" s="66" t="str">
        <f>IF(Таблица182124[[#This Row],[Столбец1]]="","",INDEX('Лист2'!$A$8:$O$179,MATCH(A59,'Лист2'!$B$8:$B$179,0),8))</f>
        <v/>
      </c>
      <c r="H59" s="65" t="str">
        <f>IF(OR(Таблица182124[[#This Row],[Столбец1]]="",Таблица182124[[#This Row],[Столбец4]]="отсутствует"),"",INDEX('Лист2'!$A$8:$O$179,MATCH(A59,'Лист2'!$B$8:$B$179,0),9))</f>
        <v/>
      </c>
      <c r="I59" s="64" t="str">
        <f>IF(OR(Таблица182124[[#This Row],[Столбец1]]="",Таблица182124[[#This Row],[Столбец4]]="отсутствует"),"",INDEX('Лист2'!$A$8:$O$179,MATCH(A59,'Лист2'!$B$8:$B$179,0),10))</f>
        <v/>
      </c>
      <c r="J59" s="64" t="str">
        <f>IF(OR(Таблица182124[[#This Row],[Столбец1]]="",Таблица182124[[#This Row],[Столбец4]]="отсутствует"),"",INDEX('Лист2'!$A$8:$O$179,MATCH(A59,'Лист2'!$B$8:$B$179,0),11))</f>
        <v/>
      </c>
      <c r="K59" s="64" t="str">
        <f>IF(OR(Таблица182124[[#This Row],[Столбец1]]="",Таблица182124[[#This Row],[Столбец4]]="отсутствует"),"",INDEX('Лист2'!$A$8:$O$179,MATCH(A59,'Лист2'!$B$8:$B$179,0),12))</f>
        <v/>
      </c>
      <c r="L59" s="64" t="str">
        <f>IF(OR(Таблица182124[[#This Row],[Столбец1]]="",Таблица182124[[#This Row],[Столбец4]]="отсутствует"),"",INDEX('Лист2'!$A$8:$O$179,MATCH(A59,'Лист2'!$B$8:$B$179,0),13))</f>
        <v/>
      </c>
      <c r="M59" s="64" t="str">
        <f>IF(OR(Таблица182124[[#This Row],[Столбец1]]="",Таблица182124[[#This Row],[Столбец4]]="отсутствует"),"",INDEX('Лист2'!$A$8:$O$179,MATCH(A59,'Лист2'!$B$8:$B$179,0),14))</f>
        <v/>
      </c>
      <c r="N59" s="67" t="str">
        <f>IF(Таблица182124[[#This Row],[Столбец1]]="","",IF(INDEX('Лист2'!$A$8:$O$179,MATCH(A59,'Лист2'!$B$8:$B$179,0),15)=0,"",INDEX('Лист2'!$A$8:$O$179,MATCH(A59,'Лист2'!$B$8:$B$179,0),15)))</f>
        <v/>
      </c>
      <c r="O59" s="58"/>
    </row>
    <row r="60" ht="15">
      <c r="A60" s="63"/>
      <c r="B60" s="64" t="str">
        <f>IF(Таблица182124[[#This Row],[Столбец1]]="","",INDEX('Лист2'!$A$8:$O$179,MATCH(A60,'Лист2'!$B$8:$B$179,0),3))</f>
        <v/>
      </c>
      <c r="C60" s="65" t="str">
        <f>IF(Таблица182124[[#This Row],[Столбец1]]="","",INDEX('Лист2'!$A$8:$O$179,MATCH(A60,'Лист2'!$B$8:$B$179,0),4))</f>
        <v/>
      </c>
      <c r="D60" s="64" t="str">
        <f>IF(Таблица182124[[#This Row],[Столбец1]]="","",INDEX('Лист2'!$A$8:$O$179,MATCH(A60,'Лист2'!$B$8:$B$179,0),5))</f>
        <v/>
      </c>
      <c r="E60" s="66" t="str">
        <f>IF(Таблица182124[[#This Row],[Столбец1]]="","",INDEX('Лист2'!$A$8:$O$179,MATCH(A60,'Лист2'!$B$8:$B$179,0),6))</f>
        <v/>
      </c>
      <c r="F60" s="66" t="str">
        <f>IF(Таблица182124[[#This Row],[Столбец1]]="","",INDEX('Лист2'!$A$8:$O$179,MATCH(A60,'Лист2'!$B$8:$B$179,0),7))</f>
        <v/>
      </c>
      <c r="G60" s="66" t="str">
        <f>IF(Таблица182124[[#This Row],[Столбец1]]="","",INDEX('Лист2'!$A$8:$O$179,MATCH(A60,'Лист2'!$B$8:$B$179,0),8))</f>
        <v/>
      </c>
      <c r="H60" s="65" t="str">
        <f>IF(OR(Таблица182124[[#This Row],[Столбец1]]="",Таблица182124[[#This Row],[Столбец4]]="отсутствует"),"",INDEX('Лист2'!$A$8:$O$179,MATCH(A60,'Лист2'!$B$8:$B$179,0),9))</f>
        <v/>
      </c>
      <c r="I60" s="64" t="str">
        <f>IF(OR(Таблица182124[[#This Row],[Столбец1]]="",Таблица182124[[#This Row],[Столбец4]]="отсутствует"),"",INDEX('Лист2'!$A$8:$O$179,MATCH(A60,'Лист2'!$B$8:$B$179,0),10))</f>
        <v/>
      </c>
      <c r="J60" s="64" t="str">
        <f>IF(OR(Таблица182124[[#This Row],[Столбец1]]="",Таблица182124[[#This Row],[Столбец4]]="отсутствует"),"",INDEX('Лист2'!$A$8:$O$179,MATCH(A60,'Лист2'!$B$8:$B$179,0),11))</f>
        <v/>
      </c>
      <c r="K60" s="64" t="str">
        <f>IF(OR(Таблица182124[[#This Row],[Столбец1]]="",Таблица182124[[#This Row],[Столбец4]]="отсутствует"),"",INDEX('Лист2'!$A$8:$O$179,MATCH(A60,'Лист2'!$B$8:$B$179,0),12))</f>
        <v/>
      </c>
      <c r="L60" s="64" t="str">
        <f>IF(OR(Таблица182124[[#This Row],[Столбец1]]="",Таблица182124[[#This Row],[Столбец4]]="отсутствует"),"",INDEX('Лист2'!$A$8:$O$179,MATCH(A60,'Лист2'!$B$8:$B$179,0),13))</f>
        <v/>
      </c>
      <c r="M60" s="64" t="str">
        <f>IF(OR(Таблица182124[[#This Row],[Столбец1]]="",Таблица182124[[#This Row],[Столбец4]]="отсутствует"),"",INDEX('Лист2'!$A$8:$O$179,MATCH(A60,'Лист2'!$B$8:$B$179,0),14))</f>
        <v/>
      </c>
      <c r="N60" s="67" t="str">
        <f>IF(Таблица182124[[#This Row],[Столбец1]]="","",IF(INDEX('Лист2'!$A$8:$O$179,MATCH(A60,'Лист2'!$B$8:$B$179,0),15)=0,"",INDEX('Лист2'!$A$8:$O$179,MATCH(A60,'Лист2'!$B$8:$B$179,0),15)))</f>
        <v/>
      </c>
      <c r="O60" s="58"/>
    </row>
    <row r="61" ht="15">
      <c r="A61" s="63"/>
      <c r="B61" s="64" t="str">
        <f>IF(Таблица182124[[#This Row],[Столбец1]]="","",INDEX('Лист2'!$A$8:$O$179,MATCH(A61,'Лист2'!$B$8:$B$179,0),3))</f>
        <v/>
      </c>
      <c r="C61" s="65" t="str">
        <f>IF(Таблица182124[[#This Row],[Столбец1]]="","",INDEX('Лист2'!$A$8:$O$179,MATCH(A61,'Лист2'!$B$8:$B$179,0),4))</f>
        <v/>
      </c>
      <c r="D61" s="64" t="str">
        <f>IF(Таблица182124[[#This Row],[Столбец1]]="","",INDEX('Лист2'!$A$8:$O$179,MATCH(A61,'Лист2'!$B$8:$B$179,0),5))</f>
        <v/>
      </c>
      <c r="E61" s="66" t="str">
        <f>IF(Таблица182124[[#This Row],[Столбец1]]="","",INDEX('Лист2'!$A$8:$O$179,MATCH(A61,'Лист2'!$B$8:$B$179,0),6))</f>
        <v/>
      </c>
      <c r="F61" s="66" t="str">
        <f>IF(Таблица182124[[#This Row],[Столбец1]]="","",INDEX('Лист2'!$A$8:$O$179,MATCH(A61,'Лист2'!$B$8:$B$179,0),7))</f>
        <v/>
      </c>
      <c r="G61" s="66" t="str">
        <f>IF(Таблица182124[[#This Row],[Столбец1]]="","",INDEX('Лист2'!$A$8:$O$179,MATCH(A61,'Лист2'!$B$8:$B$179,0),8))</f>
        <v/>
      </c>
      <c r="H61" s="65" t="str">
        <f>IF(OR(Таблица182124[[#This Row],[Столбец1]]="",Таблица182124[[#This Row],[Столбец4]]="отсутствует"),"",INDEX('Лист2'!$A$8:$O$179,MATCH(A61,'Лист2'!$B$8:$B$179,0),9))</f>
        <v/>
      </c>
      <c r="I61" s="64" t="str">
        <f>IF(OR(Таблица182124[[#This Row],[Столбец1]]="",Таблица182124[[#This Row],[Столбец4]]="отсутствует"),"",INDEX('Лист2'!$A$8:$O$179,MATCH(A61,'Лист2'!$B$8:$B$179,0),10))</f>
        <v/>
      </c>
      <c r="J61" s="64" t="str">
        <f>IF(OR(Таблица182124[[#This Row],[Столбец1]]="",Таблица182124[[#This Row],[Столбец4]]="отсутствует"),"",INDEX('Лист2'!$A$8:$O$179,MATCH(A61,'Лист2'!$B$8:$B$179,0),11))</f>
        <v/>
      </c>
      <c r="K61" s="64" t="str">
        <f>IF(OR(Таблица182124[[#This Row],[Столбец1]]="",Таблица182124[[#This Row],[Столбец4]]="отсутствует"),"",INDEX('Лист2'!$A$8:$O$179,MATCH(A61,'Лист2'!$B$8:$B$179,0),12))</f>
        <v/>
      </c>
      <c r="L61" s="64" t="str">
        <f>IF(OR(Таблица182124[[#This Row],[Столбец1]]="",Таблица182124[[#This Row],[Столбец4]]="отсутствует"),"",INDEX('Лист2'!$A$8:$O$179,MATCH(A61,'Лист2'!$B$8:$B$179,0),13))</f>
        <v/>
      </c>
      <c r="M61" s="64" t="str">
        <f>IF(OR(Таблица182124[[#This Row],[Столбец1]]="",Таблица182124[[#This Row],[Столбец4]]="отсутствует"),"",INDEX('Лист2'!$A$8:$O$179,MATCH(A61,'Лист2'!$B$8:$B$179,0),14))</f>
        <v/>
      </c>
      <c r="N61" s="67" t="str">
        <f>IF(Таблица182124[[#This Row],[Столбец1]]="","",IF(INDEX('Лист2'!$A$8:$O$179,MATCH(A61,'Лист2'!$B$8:$B$179,0),15)=0,"",INDEX('Лист2'!$A$8:$O$179,MATCH(A61,'Лист2'!$B$8:$B$179,0),15)))</f>
        <v/>
      </c>
      <c r="O61" s="58"/>
    </row>
    <row r="62" ht="15">
      <c r="A62" s="63"/>
      <c r="B62" s="64" t="str">
        <f>IF(Таблица182124[[#This Row],[Столбец1]]="","",INDEX('Лист2'!$A$8:$O$179,MATCH(A62,'Лист2'!$B$8:$B$179,0),3))</f>
        <v/>
      </c>
      <c r="C62" s="65" t="str">
        <f>IF(Таблица182124[[#This Row],[Столбец1]]="","",INDEX('Лист2'!$A$8:$O$179,MATCH(A62,'Лист2'!$B$8:$B$179,0),4))</f>
        <v/>
      </c>
      <c r="D62" s="64" t="str">
        <f>IF(Таблица182124[[#This Row],[Столбец1]]="","",INDEX('Лист2'!$A$8:$O$179,MATCH(A62,'Лист2'!$B$8:$B$179,0),5))</f>
        <v/>
      </c>
      <c r="E62" s="66" t="str">
        <f>IF(Таблица182124[[#This Row],[Столбец1]]="","",INDEX('Лист2'!$A$8:$O$179,MATCH(A62,'Лист2'!$B$8:$B$179,0),6))</f>
        <v/>
      </c>
      <c r="F62" s="66" t="str">
        <f>IF(Таблица182124[[#This Row],[Столбец1]]="","",INDEX('Лист2'!$A$8:$O$179,MATCH(A62,'Лист2'!$B$8:$B$179,0),7))</f>
        <v/>
      </c>
      <c r="G62" s="66" t="str">
        <f>IF(Таблица182124[[#This Row],[Столбец1]]="","",INDEX('Лист2'!$A$8:$O$179,MATCH(A62,'Лист2'!$B$8:$B$179,0),8))</f>
        <v/>
      </c>
      <c r="H62" s="65" t="str">
        <f>IF(OR(Таблица182124[[#This Row],[Столбец1]]="",Таблица182124[[#This Row],[Столбец4]]="отсутствует"),"",INDEX('Лист2'!$A$8:$O$179,MATCH(A62,'Лист2'!$B$8:$B$179,0),9))</f>
        <v/>
      </c>
      <c r="I62" s="64" t="str">
        <f>IF(OR(Таблица182124[[#This Row],[Столбец1]]="",Таблица182124[[#This Row],[Столбец4]]="отсутствует"),"",INDEX('Лист2'!$A$8:$O$179,MATCH(A62,'Лист2'!$B$8:$B$179,0),10))</f>
        <v/>
      </c>
      <c r="J62" s="64" t="str">
        <f>IF(OR(Таблица182124[[#This Row],[Столбец1]]="",Таблица182124[[#This Row],[Столбец4]]="отсутствует"),"",INDEX('Лист2'!$A$8:$O$179,MATCH(A62,'Лист2'!$B$8:$B$179,0),11))</f>
        <v/>
      </c>
      <c r="K62" s="64" t="str">
        <f>IF(OR(Таблица182124[[#This Row],[Столбец1]]="",Таблица182124[[#This Row],[Столбец4]]="отсутствует"),"",INDEX('Лист2'!$A$8:$O$179,MATCH(A62,'Лист2'!$B$8:$B$179,0),12))</f>
        <v/>
      </c>
      <c r="L62" s="64" t="str">
        <f>IF(OR(Таблица182124[[#This Row],[Столбец1]]="",Таблица182124[[#This Row],[Столбец4]]="отсутствует"),"",INDEX('Лист2'!$A$8:$O$179,MATCH(A62,'Лист2'!$B$8:$B$179,0),13))</f>
        <v/>
      </c>
      <c r="M62" s="64" t="str">
        <f>IF(OR(Таблица182124[[#This Row],[Столбец1]]="",Таблица182124[[#This Row],[Столбец4]]="отсутствует"),"",INDEX('Лист2'!$A$8:$O$179,MATCH(A62,'Лист2'!$B$8:$B$179,0),14))</f>
        <v/>
      </c>
      <c r="N62" s="67" t="str">
        <f>IF(Таблица182124[[#This Row],[Столбец1]]="","",IF(INDEX('Лист2'!$A$8:$O$179,MATCH(A62,'Лист2'!$B$8:$B$179,0),15)=0,"",INDEX('Лист2'!$A$8:$O$179,MATCH(A62,'Лист2'!$B$8:$B$179,0),15)))</f>
        <v/>
      </c>
      <c r="O62" s="58"/>
    </row>
    <row r="63" ht="48" customHeight="1">
      <c r="A63" s="68" t="s">
        <v>196</v>
      </c>
      <c r="B63" s="69"/>
      <c r="C63" s="69"/>
      <c r="D63" s="69"/>
      <c r="E63" s="70">
        <f>SUM(E55:E62)</f>
        <v>0</v>
      </c>
      <c r="F63" s="70">
        <f>SUM(F55:F62)</f>
        <v>0</v>
      </c>
      <c r="G63" s="70">
        <f>SUM(G55:G62)</f>
        <v>0</v>
      </c>
      <c r="H63" s="71"/>
      <c r="I63" s="72"/>
      <c r="J63" s="72"/>
      <c r="K63" s="72"/>
      <c r="L63" s="72"/>
      <c r="M63" s="72"/>
      <c r="N63" s="73"/>
      <c r="O63" s="58"/>
    </row>
    <row r="64" ht="15">
      <c r="A64" s="63"/>
      <c r="B64" s="65" t="str">
        <f>IF(Таблица18212325[[#This Row],[Столбец1]]="","",INDEX(Лист2!$A$8:$O$179,MATCH(A64,Лист2!$B$8:$B$179,0),3))</f>
        <v/>
      </c>
      <c r="C64" s="65" t="str">
        <f>IF(Таблица18212325[[#This Row],[Столбец1]]="","",INDEX(Лист2!$A$8:$O$179,MATCH(A64,Лист2!$B$8:$B$179,0),4))</f>
        <v/>
      </c>
      <c r="D64" s="64" t="str">
        <f>IF(Таблица18212325[[#This Row],[Столбец1]]="","",INDEX(Лист2!$A$8:$O$179,MATCH(A64,Лист2!$B$8:$B$179,0),5))</f>
        <v/>
      </c>
      <c r="E64" s="66" t="str">
        <f>IF(Таблица18212325[[#This Row],[Столбец1]]="","",INDEX(Лист2!$A$8:$O$179,MATCH(A64,Лист2!$B$8:$B$179,0),6))</f>
        <v/>
      </c>
      <c r="F64" s="66" t="str">
        <f>IF(Таблица18212325[[#This Row],[Столбец1]]="","",INDEX(Лист2!$A$8:$O$179,MATCH(A64,Лист2!$B$8:$B$179,0),7))</f>
        <v/>
      </c>
      <c r="G64" s="66" t="str">
        <f>IF(Таблица18212325[[#This Row],[Столбец1]]="","",INDEX(Лист2!$A$8:$O$179,MATCH(A64,Лист2!$B$8:$B$179,0),8))</f>
        <v/>
      </c>
      <c r="H64" s="65" t="str">
        <f>IF(OR(Таблица18212325[[#This Row],[Столбец1]]="",Таблица18212325[[#This Row],[Столбец4]]="отсутствует"),"",INDEX(Лист2!$A$8:$O$179,MATCH(A64,Лист2!$B$8:$B$179,0),9))</f>
        <v/>
      </c>
      <c r="I64" s="64" t="str">
        <f>IF(OR(Таблица18212325[[#This Row],[Столбец1]]="",Таблица18212325[[#This Row],[Столбец4]]="отсутствует"),"",INDEX(Лист2!$A$8:$O$179,MATCH(A64,Лист2!$B$8:$B$179,0),10))</f>
        <v/>
      </c>
      <c r="J64" s="64" t="str">
        <f>IF(OR(Таблица18212325[[#This Row],[Столбец1]]="",Таблица18212325[[#This Row],[Столбец4]]="отсутствует"),"",INDEX(Лист2!$A$8:$O$179,MATCH(A64,Лист2!$B$8:$B$179,0),11))</f>
        <v/>
      </c>
      <c r="K64" s="64" t="str">
        <f>IF(OR(Таблица18212325[[#This Row],[Столбец1]]="",Таблица18212325[[#This Row],[Столбец4]]="отсутствует"),"",INDEX(Лист2!$A$8:$O$179,MATCH(A64,Лист2!$B$8:$B$179,0),12))</f>
        <v/>
      </c>
      <c r="L64" s="64" t="str">
        <f>IF(OR(Таблица18212325[[#This Row],[Столбец1]]="",Таблица18212325[[#This Row],[Столбец4]]="отсутствует"),"",INDEX(Лист2!$A$8:$O$179,MATCH(A64,Лист2!$B$8:$B$179,0),13))</f>
        <v/>
      </c>
      <c r="M64" s="64" t="str">
        <f>IF(OR(Таблица18212325[[#This Row],[Столбец1]]="",Таблица18212325[[#This Row],[Столбец4]]="отсутствует"),"",INDEX(Лист2!$A$8:$O$179,MATCH(A64,Лист2!$B$8:$B$179,0),14))</f>
        <v/>
      </c>
      <c r="N64" s="67" t="str">
        <f>IF(Таблица18212325[[#This Row],[Столбец1]]="","",IF(INDEX(Лист2!$A$8:$O$179,MATCH(A64,Лист2!$B$8:$B$179,0),15)=0,"",INDEX(Лист2!$A$8:$O$179,MATCH(A64,Лист2!$B$8:$B$179,0),15)))</f>
        <v/>
      </c>
      <c r="O64" s="58"/>
    </row>
    <row r="65" ht="15.75">
      <c r="A65" s="63"/>
      <c r="B65" s="64" t="str">
        <f>IF(Таблица18212325[[#This Row],[Столбец1]]="","",INDEX('Лист2'!$A$8:$O$179,MATCH(A65,'Лист2'!$B$8:$B$179,0),3))</f>
        <v/>
      </c>
      <c r="C65" s="65" t="str">
        <f>IF(Таблица18212325[[#This Row],[Столбец1]]="","",INDEX('Лист2'!$A$8:$O$179,MATCH(A65,'Лист2'!$B$8:$B$179,0),4))</f>
        <v/>
      </c>
      <c r="D65" s="64" t="str">
        <f>IF(Таблица18212325[[#This Row],[Столбец1]]="","",INDEX('Лист2'!$A$8:$O$179,MATCH(A65,'Лист2'!$B$8:$B$179,0),5))</f>
        <v/>
      </c>
      <c r="E65" s="66" t="str">
        <f>IF(Таблица18212325[[#This Row],[Столбец1]]="","",INDEX('Лист2'!$A$8:$O$179,MATCH(A65,'Лист2'!$B$8:$B$179,0),6))</f>
        <v/>
      </c>
      <c r="F65" s="66" t="str">
        <f>IF(Таблица18212325[[#This Row],[Столбец1]]="","",INDEX('Лист2'!$A$8:$O$179,MATCH(A65,'Лист2'!$B$8:$B$179,0),7))</f>
        <v/>
      </c>
      <c r="G65" s="66" t="str">
        <f>IF(Таблица18212325[[#This Row],[Столбец1]]="","",INDEX('Лист2'!$A$8:$O$179,MATCH(A65,'Лист2'!$B$8:$B$179,0),8))</f>
        <v/>
      </c>
      <c r="H65" s="65" t="str">
        <f>IF(OR(Таблица18212325[[#This Row],[Столбец1]]="",Таблица18212325[[#This Row],[Столбец4]]="отсутствует"),"",INDEX('Лист2'!$A$8:$O$179,MATCH(A65,'Лист2'!$B$8:$B$179,0),9))</f>
        <v/>
      </c>
      <c r="I65" s="64" t="str">
        <f>IF(OR(Таблица18212325[[#This Row],[Столбец1]]="",Таблица18212325[[#This Row],[Столбец4]]="отсутствует"),"",INDEX('Лист2'!$A$8:$O$179,MATCH(A65,'Лист2'!$B$8:$B$179,0),10))</f>
        <v/>
      </c>
      <c r="J65" s="64" t="str">
        <f>IF(OR(Таблица18212325[[#This Row],[Столбец1]]="",Таблица18212325[[#This Row],[Столбец4]]="отсутствует"),"",INDEX('Лист2'!$A$8:$O$179,MATCH(A65,'Лист2'!$B$8:$B$179,0),11))</f>
        <v/>
      </c>
      <c r="K65" s="64" t="str">
        <f>IF(OR(Таблица18212325[[#This Row],[Столбец1]]="",Таблица18212325[[#This Row],[Столбец4]]="отсутствует"),"",INDEX('Лист2'!$A$8:$O$179,MATCH(A65,'Лист2'!$B$8:$B$179,0),12))</f>
        <v/>
      </c>
      <c r="L65" s="64" t="str">
        <f>IF(OR(Таблица18212325[[#This Row],[Столбец1]]="",Таблица18212325[[#This Row],[Столбец4]]="отсутствует"),"",INDEX('Лист2'!$A$8:$O$179,MATCH(A65,'Лист2'!$B$8:$B$179,0),13))</f>
        <v/>
      </c>
      <c r="M65" s="64" t="str">
        <f>IF(OR(Таблица18212325[[#This Row],[Столбец1]]="",Таблица18212325[[#This Row],[Столбец4]]="отсутствует"),"",INDEX('Лист2'!$A$8:$O$179,MATCH(A65,'Лист2'!$B$8:$B$179,0),14))</f>
        <v/>
      </c>
      <c r="N65" s="67" t="str">
        <f>IF(Таблица18212325[[#This Row],[Столбец1]]="","",IF(INDEX('Лист2'!$A$8:$O$179,MATCH(A65,'Лист2'!$B$8:$B$179,0),15)=0,"",INDEX('Лист2'!$A$8:$O$179,MATCH(A65,'Лист2'!$B$8:$B$179,0),15)))</f>
        <v/>
      </c>
      <c r="O65" s="58"/>
    </row>
    <row r="66" ht="15.75">
      <c r="A66" s="74"/>
      <c r="B66" s="75" t="str">
        <f>IF(Таблица18212325[[#This Row],[Столбец1]]="","",INDEX('Лист2'!$A$8:$O$179,MATCH(A66,'Лист2'!$B$8:$B$179,0),3))</f>
        <v/>
      </c>
      <c r="C66" s="76" t="str">
        <f>IF(Таблица18212325[[#This Row],[Столбец1]]="","",INDEX('Лист2'!$A$8:$O$179,MATCH(A66,'Лист2'!$B$8:$B$179,0),4))</f>
        <v/>
      </c>
      <c r="D66" s="75" t="str">
        <f>IF(Таблица18212325[[#This Row],[Столбец1]]="","",INDEX('Лист2'!$A$8:$O$179,MATCH(A66,'Лист2'!$B$8:$B$179,0),5))</f>
        <v/>
      </c>
      <c r="E66" s="77" t="str">
        <f>IF(Таблица18212325[[#This Row],[Столбец1]]="","",INDEX('Лист2'!$A$8:$O$179,MATCH(A66,'Лист2'!$B$8:$B$179,0),6))</f>
        <v/>
      </c>
      <c r="F66" s="77" t="str">
        <f>IF(Таблица18212325[[#This Row],[Столбец1]]="","",INDEX('Лист2'!$A$8:$O$179,MATCH(A66,'Лист2'!$B$8:$B$179,0),7))</f>
        <v/>
      </c>
      <c r="G66" s="77" t="str">
        <f>IF(Таблица18212325[[#This Row],[Столбец1]]="","",INDEX('Лист2'!$A$8:$O$179,MATCH(A66,'Лист2'!$B$8:$B$179,0),8))</f>
        <v/>
      </c>
      <c r="H66" s="76" t="str">
        <f>IF(OR(Таблица18212325[[#This Row],[Столбец1]]="",Таблица18212325[[#This Row],[Столбец4]]="отсутствует"),"",INDEX('Лист2'!$A$8:$O$179,MATCH(A66,'Лист2'!$B$8:$B$179,0),9))</f>
        <v/>
      </c>
      <c r="I66" s="75" t="str">
        <f>IF(OR(Таблица18212325[[#This Row],[Столбец1]]="",Таблица18212325[[#This Row],[Столбец4]]="отсутствует"),"",INDEX('Лист2'!$A$8:$O$179,MATCH(A66,'Лист2'!$B$8:$B$179,0),10))</f>
        <v/>
      </c>
      <c r="J66" s="75" t="str">
        <f>IF(OR(Таблица18212325[[#This Row],[Столбец1]]="",Таблица18212325[[#This Row],[Столбец4]]="отсутствует"),"",INDEX('Лист2'!$A$8:$O$179,MATCH(A66,'Лист2'!$B$8:$B$179,0),11))</f>
        <v/>
      </c>
      <c r="K66" s="75" t="str">
        <f>IF(OR(Таблица18212325[[#This Row],[Столбец1]]="",Таблица18212325[[#This Row],[Столбец4]]="отсутствует"),"",INDEX('Лист2'!$A$8:$O$179,MATCH(A66,'Лист2'!$B$8:$B$179,0),12))</f>
        <v/>
      </c>
      <c r="L66" s="75" t="str">
        <f>IF(OR(Таблица18212325[[#This Row],[Столбец1]]="",Таблица18212325[[#This Row],[Столбец4]]="отсутствует"),"",INDEX('Лист2'!$A$8:$O$179,MATCH(A66,'Лист2'!$B$8:$B$179,0),13))</f>
        <v/>
      </c>
      <c r="M66" s="75" t="str">
        <f>IF(OR(Таблица18212325[[#This Row],[Столбец1]]="",Таблица18212325[[#This Row],[Столбец4]]="отсутствует"),"",INDEX('Лист2'!$A$8:$O$179,MATCH(A66,'Лист2'!$B$8:$B$179,0),14))</f>
        <v/>
      </c>
      <c r="N66" s="78" t="str">
        <f>IF(Таблица18212325[[#This Row],[Столбец1]]="","",IF(INDEX('Лист2'!$A$8:$O$179,MATCH(A66,'Лист2'!$B$8:$B$179,0),15)=0,"",INDEX('Лист2'!$A$8:$O$179,MATCH(A66,'Лист2'!$B$8:$B$179,0),15)))</f>
        <v/>
      </c>
      <c r="O66" s="58"/>
    </row>
    <row r="67" ht="15.75">
      <c r="A67" s="74"/>
      <c r="B67" s="75" t="str">
        <f>IF(Таблица18212325[[#This Row],[Столбец1]]="","",INDEX('Лист2'!$A$8:$O$179,MATCH(A67,'Лист2'!$B$8:$B$179,0),3))</f>
        <v/>
      </c>
      <c r="C67" s="76" t="str">
        <f>IF(Таблица18212325[[#This Row],[Столбец1]]="","",INDEX('Лист2'!$A$8:$O$179,MATCH(A67,'Лист2'!$B$8:$B$179,0),4))</f>
        <v/>
      </c>
      <c r="D67" s="75" t="str">
        <f>IF(Таблица18212325[[#This Row],[Столбец1]]="","",INDEX('Лист2'!$A$8:$O$179,MATCH(A67,'Лист2'!$B$8:$B$179,0),5))</f>
        <v/>
      </c>
      <c r="E67" s="77" t="str">
        <f>IF(Таблица18212325[[#This Row],[Столбец1]]="","",INDEX('Лист2'!$A$8:$O$179,MATCH(A67,'Лист2'!$B$8:$B$179,0),6))</f>
        <v/>
      </c>
      <c r="F67" s="77" t="str">
        <f>IF(Таблица18212325[[#This Row],[Столбец1]]="","",INDEX('Лист2'!$A$8:$O$179,MATCH(A67,'Лист2'!$B$8:$B$179,0),7))</f>
        <v/>
      </c>
      <c r="G67" s="77" t="str">
        <f>IF(Таблица18212325[[#This Row],[Столбец1]]="","",INDEX('Лист2'!$A$8:$O$179,MATCH(A67,'Лист2'!$B$8:$B$179,0),8))</f>
        <v/>
      </c>
      <c r="H67" s="76" t="str">
        <f>IF(OR(Таблица18212325[[#This Row],[Столбец1]]="",Таблица18212325[[#This Row],[Столбец4]]="отсутствует"),"",INDEX('Лист2'!$A$8:$O$179,MATCH(A67,'Лист2'!$B$8:$B$179,0),9))</f>
        <v/>
      </c>
      <c r="I67" s="75" t="str">
        <f>IF(OR(Таблица18212325[[#This Row],[Столбец1]]="",Таблица18212325[[#This Row],[Столбец4]]="отсутствует"),"",INDEX('Лист2'!$A$8:$O$179,MATCH(A67,'Лист2'!$B$8:$B$179,0),10))</f>
        <v/>
      </c>
      <c r="J67" s="75" t="str">
        <f>IF(OR(Таблица18212325[[#This Row],[Столбец1]]="",Таблица18212325[[#This Row],[Столбец4]]="отсутствует"),"",INDEX('Лист2'!$A$8:$O$179,MATCH(A67,'Лист2'!$B$8:$B$179,0),11))</f>
        <v/>
      </c>
      <c r="K67" s="75" t="str">
        <f>IF(OR(Таблица18212325[[#This Row],[Столбец1]]="",Таблица18212325[[#This Row],[Столбец4]]="отсутствует"),"",INDEX('Лист2'!$A$8:$O$179,MATCH(A67,'Лист2'!$B$8:$B$179,0),12))</f>
        <v/>
      </c>
      <c r="L67" s="75" t="str">
        <f>IF(OR(Таблица18212325[[#This Row],[Столбец1]]="",Таблица18212325[[#This Row],[Столбец4]]="отсутствует"),"",INDEX('Лист2'!$A$8:$O$179,MATCH(A67,'Лист2'!$B$8:$B$179,0),13))</f>
        <v/>
      </c>
      <c r="M67" s="75" t="str">
        <f>IF(OR(Таблица18212325[[#This Row],[Столбец1]]="",Таблица18212325[[#This Row],[Столбец4]]="отсутствует"),"",INDEX('Лист2'!$A$8:$O$179,MATCH(A67,'Лист2'!$B$8:$B$179,0),14))</f>
        <v/>
      </c>
      <c r="N67" s="78" t="str">
        <f>IF(Таблица18212325[[#This Row],[Столбец1]]="","",IF(INDEX('Лист2'!$A$8:$O$179,MATCH(A67,'Лист2'!$B$8:$B$179,0),15)=0,"",INDEX('Лист2'!$A$8:$O$179,MATCH(A67,'Лист2'!$B$8:$B$179,0),15)))</f>
        <v/>
      </c>
      <c r="O67" s="58"/>
    </row>
    <row r="68" ht="15.75">
      <c r="A68" s="74"/>
      <c r="B68" s="75" t="str">
        <f>IF(Таблица18212325[[#This Row],[Столбец1]]="","",INDEX('Лист2'!$A$8:$O$179,MATCH(A68,'Лист2'!$B$8:$B$179,0),3))</f>
        <v/>
      </c>
      <c r="C68" s="76" t="str">
        <f>IF(Таблица18212325[[#This Row],[Столбец1]]="","",INDEX('Лист2'!$A$8:$O$179,MATCH(A68,'Лист2'!$B$8:$B$179,0),4))</f>
        <v/>
      </c>
      <c r="D68" s="75" t="str">
        <f>IF(Таблица18212325[[#This Row],[Столбец1]]="","",INDEX('Лист2'!$A$8:$O$179,MATCH(A68,'Лист2'!$B$8:$B$179,0),5))</f>
        <v/>
      </c>
      <c r="E68" s="77" t="str">
        <f>IF(Таблица18212325[[#This Row],[Столбец1]]="","",INDEX('Лист2'!$A$8:$O$179,MATCH(A68,'Лист2'!$B$8:$B$179,0),6))</f>
        <v/>
      </c>
      <c r="F68" s="77" t="str">
        <f>IF(Таблица18212325[[#This Row],[Столбец1]]="","",INDEX('Лист2'!$A$8:$O$179,MATCH(A68,'Лист2'!$B$8:$B$179,0),7))</f>
        <v/>
      </c>
      <c r="G68" s="77" t="str">
        <f>IF(Таблица18212325[[#This Row],[Столбец1]]="","",INDEX('Лист2'!$A$8:$O$179,MATCH(A68,'Лист2'!$B$8:$B$179,0),8))</f>
        <v/>
      </c>
      <c r="H68" s="76" t="str">
        <f>IF(OR(Таблица18212325[[#This Row],[Столбец1]]="",Таблица18212325[[#This Row],[Столбец4]]="отсутствует"),"",INDEX('Лист2'!$A$8:$O$179,MATCH(A68,'Лист2'!$B$8:$B$179,0),9))</f>
        <v/>
      </c>
      <c r="I68" s="75" t="str">
        <f>IF(OR(Таблица18212325[[#This Row],[Столбец1]]="",Таблица18212325[[#This Row],[Столбец4]]="отсутствует"),"",INDEX('Лист2'!$A$8:$O$179,MATCH(A68,'Лист2'!$B$8:$B$179,0),10))</f>
        <v/>
      </c>
      <c r="J68" s="75" t="str">
        <f>IF(OR(Таблица18212325[[#This Row],[Столбец1]]="",Таблица18212325[[#This Row],[Столбец4]]="отсутствует"),"",INDEX('Лист2'!$A$8:$O$179,MATCH(A68,'Лист2'!$B$8:$B$179,0),11))</f>
        <v/>
      </c>
      <c r="K68" s="75" t="str">
        <f>IF(OR(Таблица18212325[[#This Row],[Столбец1]]="",Таблица18212325[[#This Row],[Столбец4]]="отсутствует"),"",INDEX('Лист2'!$A$8:$O$179,MATCH(A68,'Лист2'!$B$8:$B$179,0),12))</f>
        <v/>
      </c>
      <c r="L68" s="75" t="str">
        <f>IF(OR(Таблица18212325[[#This Row],[Столбец1]]="",Таблица18212325[[#This Row],[Столбец4]]="отсутствует"),"",INDEX('Лист2'!$A$8:$O$179,MATCH(A68,'Лист2'!$B$8:$B$179,0),13))</f>
        <v/>
      </c>
      <c r="M68" s="75" t="str">
        <f>IF(OR(Таблица18212325[[#This Row],[Столбец1]]="",Таблица18212325[[#This Row],[Столбец4]]="отсутствует"),"",INDEX('Лист2'!$A$8:$O$179,MATCH(A68,'Лист2'!$B$8:$B$179,0),14))</f>
        <v/>
      </c>
      <c r="N68" s="78" t="str">
        <f>IF(Таблица18212325[[#This Row],[Столбец1]]="","",IF(INDEX('Лист2'!$A$8:$O$179,MATCH(A68,'Лист2'!$B$8:$B$179,0),15)=0,"",INDEX('Лист2'!$A$8:$O$179,MATCH(A68,'Лист2'!$B$8:$B$179,0),15)))</f>
        <v/>
      </c>
      <c r="O68" s="58"/>
    </row>
    <row r="69" ht="15.75">
      <c r="A69" s="74"/>
      <c r="B69" s="75" t="str">
        <f>IF(Таблица18212325[[#This Row],[Столбец1]]="","",INDEX('Лист2'!$A$8:$O$179,MATCH(A69,'Лист2'!$B$8:$B$179,0),3))</f>
        <v/>
      </c>
      <c r="C69" s="76" t="str">
        <f>IF(Таблица18212325[[#This Row],[Столбец1]]="","",INDEX('Лист2'!$A$8:$O$179,MATCH(A69,'Лист2'!$B$8:$B$179,0),4))</f>
        <v/>
      </c>
      <c r="D69" s="75" t="str">
        <f>IF(Таблица18212325[[#This Row],[Столбец1]]="","",INDEX('Лист2'!$A$8:$O$179,MATCH(A69,'Лист2'!$B$8:$B$179,0),5))</f>
        <v/>
      </c>
      <c r="E69" s="77" t="str">
        <f>IF(Таблица18212325[[#This Row],[Столбец1]]="","",INDEX('Лист2'!$A$8:$O$179,MATCH(A69,'Лист2'!$B$8:$B$179,0),6))</f>
        <v/>
      </c>
      <c r="F69" s="77" t="str">
        <f>IF(Таблица18212325[[#This Row],[Столбец1]]="","",INDEX('Лист2'!$A$8:$O$179,MATCH(A69,'Лист2'!$B$8:$B$179,0),7))</f>
        <v/>
      </c>
      <c r="G69" s="77" t="str">
        <f>IF(Таблица18212325[[#This Row],[Столбец1]]="","",INDEX('Лист2'!$A$8:$O$179,MATCH(A69,'Лист2'!$B$8:$B$179,0),8))</f>
        <v/>
      </c>
      <c r="H69" s="76" t="str">
        <f>IF(OR(Таблица18212325[[#This Row],[Столбец1]]="",Таблица18212325[[#This Row],[Столбец4]]="отсутствует"),"",INDEX('Лист2'!$A$8:$O$179,MATCH(A69,'Лист2'!$B$8:$B$179,0),9))</f>
        <v/>
      </c>
      <c r="I69" s="75" t="str">
        <f>IF(OR(Таблица18212325[[#This Row],[Столбец1]]="",Таблица18212325[[#This Row],[Столбец4]]="отсутствует"),"",INDEX('Лист2'!$A$8:$O$179,MATCH(A69,'Лист2'!$B$8:$B$179,0),10))</f>
        <v/>
      </c>
      <c r="J69" s="75" t="str">
        <f>IF(OR(Таблица18212325[[#This Row],[Столбец1]]="",Таблица18212325[[#This Row],[Столбец4]]="отсутствует"),"",INDEX('Лист2'!$A$8:$O$179,MATCH(A69,'Лист2'!$B$8:$B$179,0),11))</f>
        <v/>
      </c>
      <c r="K69" s="75" t="str">
        <f>IF(OR(Таблица18212325[[#This Row],[Столбец1]]="",Таблица18212325[[#This Row],[Столбец4]]="отсутствует"),"",INDEX('Лист2'!$A$8:$O$179,MATCH(A69,'Лист2'!$B$8:$B$179,0),12))</f>
        <v/>
      </c>
      <c r="L69" s="75" t="str">
        <f>IF(OR(Таблица18212325[[#This Row],[Столбец1]]="",Таблица18212325[[#This Row],[Столбец4]]="отсутствует"),"",INDEX('Лист2'!$A$8:$O$179,MATCH(A69,'Лист2'!$B$8:$B$179,0),13))</f>
        <v/>
      </c>
      <c r="M69" s="75" t="str">
        <f>IF(OR(Таблица18212325[[#This Row],[Столбец1]]="",Таблица18212325[[#This Row],[Столбец4]]="отсутствует"),"",INDEX('Лист2'!$A$8:$O$179,MATCH(A69,'Лист2'!$B$8:$B$179,0),14))</f>
        <v/>
      </c>
      <c r="N69" s="78" t="str">
        <f>IF(Таблица18212325[[#This Row],[Столбец1]]="","",IF(INDEX('Лист2'!$A$8:$O$179,MATCH(A69,'Лист2'!$B$8:$B$179,0),15)=0,"",INDEX('Лист2'!$A$8:$O$179,MATCH(A69,'Лист2'!$B$8:$B$179,0),15)))</f>
        <v/>
      </c>
      <c r="O69" s="58"/>
    </row>
    <row r="70" ht="15.75">
      <c r="A70" s="74"/>
      <c r="B70" s="75" t="str">
        <f>IF(Таблица18212325[[#This Row],[Столбец1]]="","",INDEX('Лист2'!$A$8:$O$179,MATCH(A70,'Лист2'!$B$8:$B$179,0),3))</f>
        <v/>
      </c>
      <c r="C70" s="76" t="str">
        <f>IF(Таблица18212325[[#This Row],[Столбец1]]="","",INDEX('Лист2'!$A$8:$O$179,MATCH(A70,'Лист2'!$B$8:$B$179,0),4))</f>
        <v/>
      </c>
      <c r="D70" s="75" t="str">
        <f>IF(Таблица18212325[[#This Row],[Столбец1]]="","",INDEX('Лист2'!$A$8:$O$179,MATCH(A70,'Лист2'!$B$8:$B$179,0),5))</f>
        <v/>
      </c>
      <c r="E70" s="77" t="str">
        <f>IF(Таблица18212325[[#This Row],[Столбец1]]="","",INDEX('Лист2'!$A$8:$O$179,MATCH(A70,'Лист2'!$B$8:$B$179,0),6))</f>
        <v/>
      </c>
      <c r="F70" s="77" t="str">
        <f>IF(Таблица18212325[[#This Row],[Столбец1]]="","",INDEX('Лист2'!$A$8:$O$179,MATCH(A70,'Лист2'!$B$8:$B$179,0),7))</f>
        <v/>
      </c>
      <c r="G70" s="77" t="str">
        <f>IF(Таблица18212325[[#This Row],[Столбец1]]="","",INDEX('Лист2'!$A$8:$O$179,MATCH(A70,'Лист2'!$B$8:$B$179,0),8))</f>
        <v/>
      </c>
      <c r="H70" s="76" t="str">
        <f>IF(OR(Таблица18212325[[#This Row],[Столбец1]]="",Таблица18212325[[#This Row],[Столбец4]]="отсутствует"),"",INDEX('Лист2'!$A$8:$O$179,MATCH(A70,'Лист2'!$B$8:$B$179,0),9))</f>
        <v/>
      </c>
      <c r="I70" s="75" t="str">
        <f>IF(OR(Таблица18212325[[#This Row],[Столбец1]]="",Таблица18212325[[#This Row],[Столбец4]]="отсутствует"),"",INDEX('Лист2'!$A$8:$O$179,MATCH(A70,'Лист2'!$B$8:$B$179,0),10))</f>
        <v/>
      </c>
      <c r="J70" s="75" t="str">
        <f>IF(OR(Таблица18212325[[#This Row],[Столбец1]]="",Таблица18212325[[#This Row],[Столбец4]]="отсутствует"),"",INDEX('Лист2'!$A$8:$O$179,MATCH(A70,'Лист2'!$B$8:$B$179,0),11))</f>
        <v/>
      </c>
      <c r="K70" s="75" t="str">
        <f>IF(OR(Таблица18212325[[#This Row],[Столбец1]]="",Таблица18212325[[#This Row],[Столбец4]]="отсутствует"),"",INDEX('Лист2'!$A$8:$O$179,MATCH(A70,'Лист2'!$B$8:$B$179,0),12))</f>
        <v/>
      </c>
      <c r="L70" s="75" t="str">
        <f>IF(OR(Таблица18212325[[#This Row],[Столбец1]]="",Таблица18212325[[#This Row],[Столбец4]]="отсутствует"),"",INDEX('Лист2'!$A$8:$O$179,MATCH(A70,'Лист2'!$B$8:$B$179,0),13))</f>
        <v/>
      </c>
      <c r="M70" s="75" t="str">
        <f>IF(OR(Таблица18212325[[#This Row],[Столбец1]]="",Таблица18212325[[#This Row],[Столбец4]]="отсутствует"),"",INDEX('Лист2'!$A$8:$O$179,MATCH(A70,'Лист2'!$B$8:$B$179,0),14))</f>
        <v/>
      </c>
      <c r="N70" s="78" t="str">
        <f>IF(Таблица18212325[[#This Row],[Столбец1]]="","",IF(INDEX('Лист2'!$A$8:$O$179,MATCH(A70,'Лист2'!$B$8:$B$179,0),15)=0,"",INDEX('Лист2'!$A$8:$O$179,MATCH(A70,'Лист2'!$B$8:$B$179,0),15)))</f>
        <v/>
      </c>
      <c r="O70" s="58"/>
    </row>
    <row r="71" ht="15.75">
      <c r="A71" s="74"/>
      <c r="B71" s="75" t="str">
        <f>IF(Таблица18212325[[#This Row],[Столбец1]]="","",INDEX('Лист2'!$A$8:$O$179,MATCH(A71,'Лист2'!$B$8:$B$179,0),3))</f>
        <v/>
      </c>
      <c r="C71" s="76" t="str">
        <f>IF(Таблица18212325[[#This Row],[Столбец1]]="","",INDEX('Лист2'!$A$8:$O$179,MATCH(A71,'Лист2'!$B$8:$B$179,0),4))</f>
        <v/>
      </c>
      <c r="D71" s="75" t="str">
        <f>IF(Таблица18212325[[#This Row],[Столбец1]]="","",INDEX('Лист2'!$A$8:$O$179,MATCH(A71,'Лист2'!$B$8:$B$179,0),5))</f>
        <v/>
      </c>
      <c r="E71" s="77" t="str">
        <f>IF(Таблица18212325[[#This Row],[Столбец1]]="","",INDEX('Лист2'!$A$8:$O$179,MATCH(A71,'Лист2'!$B$8:$B$179,0),6))</f>
        <v/>
      </c>
      <c r="F71" s="77" t="str">
        <f>IF(Таблица18212325[[#This Row],[Столбец1]]="","",INDEX('Лист2'!$A$8:$O$179,MATCH(A71,'Лист2'!$B$8:$B$179,0),7))</f>
        <v/>
      </c>
      <c r="G71" s="77" t="str">
        <f>IF(Таблица18212325[[#This Row],[Столбец1]]="","",INDEX('Лист2'!$A$8:$O$179,MATCH(A71,'Лист2'!$B$8:$B$179,0),8))</f>
        <v/>
      </c>
      <c r="H71" s="76" t="str">
        <f>IF(OR(Таблица18212325[[#This Row],[Столбец1]]="",Таблица18212325[[#This Row],[Столбец4]]="отсутствует"),"",INDEX('Лист2'!$A$8:$O$179,MATCH(A71,'Лист2'!$B$8:$B$179,0),9))</f>
        <v/>
      </c>
      <c r="I71" s="75" t="str">
        <f>IF(OR(Таблица18212325[[#This Row],[Столбец1]]="",Таблица18212325[[#This Row],[Столбец4]]="отсутствует"),"",INDEX('Лист2'!$A$8:$O$179,MATCH(A71,'Лист2'!$B$8:$B$179,0),10))</f>
        <v/>
      </c>
      <c r="J71" s="75" t="str">
        <f>IF(OR(Таблица18212325[[#This Row],[Столбец1]]="",Таблица18212325[[#This Row],[Столбец4]]="отсутствует"),"",INDEX('Лист2'!$A$8:$O$179,MATCH(A71,'Лист2'!$B$8:$B$179,0),11))</f>
        <v/>
      </c>
      <c r="K71" s="75" t="str">
        <f>IF(OR(Таблица18212325[[#This Row],[Столбец1]]="",Таблица18212325[[#This Row],[Столбец4]]="отсутствует"),"",INDEX('Лист2'!$A$8:$O$179,MATCH(A71,'Лист2'!$B$8:$B$179,0),12))</f>
        <v/>
      </c>
      <c r="L71" s="75" t="str">
        <f>IF(OR(Таблица18212325[[#This Row],[Столбец1]]="",Таблица18212325[[#This Row],[Столбец4]]="отсутствует"),"",INDEX('Лист2'!$A$8:$O$179,MATCH(A71,'Лист2'!$B$8:$B$179,0),13))</f>
        <v/>
      </c>
      <c r="M71" s="75" t="str">
        <f>IF(OR(Таблица18212325[[#This Row],[Столбец1]]="",Таблица18212325[[#This Row],[Столбец4]]="отсутствует"),"",INDEX('Лист2'!$A$8:$O$179,MATCH(A71,'Лист2'!$B$8:$B$179,0),14))</f>
        <v/>
      </c>
      <c r="N71" s="78" t="str">
        <f>IF(Таблица18212325[[#This Row],[Столбец1]]="","",IF(INDEX('Лист2'!$A$8:$O$179,MATCH(A71,'Лист2'!$B$8:$B$179,0),15)=0,"",INDEX('Лист2'!$A$8:$O$179,MATCH(A71,'Лист2'!$B$8:$B$179,0),15)))</f>
        <v/>
      </c>
      <c r="O71" s="58"/>
    </row>
    <row r="72" ht="35.25" customHeight="1">
      <c r="A72" s="79" t="s">
        <v>197</v>
      </c>
      <c r="B72" s="80"/>
      <c r="C72" s="80"/>
      <c r="D72" s="80"/>
      <c r="E72" s="81">
        <f>SUBTOTAL(109,Таблица18212325[[#All],[Столбец5]])</f>
        <v>0</v>
      </c>
      <c r="F72" s="81">
        <f>SUBTOTAL(109,Таблица18212325[[#All],[Столбец6]])</f>
        <v>0</v>
      </c>
      <c r="G72" s="81">
        <f>SUBTOTAL(109,Таблица18212325[[#All],[Столбец7]])</f>
        <v>0</v>
      </c>
      <c r="H72" s="82"/>
      <c r="I72" s="83"/>
      <c r="J72" s="83"/>
      <c r="K72" s="83"/>
      <c r="L72" s="83"/>
      <c r="M72" s="83"/>
      <c r="N72" s="84"/>
      <c r="O72" s="58"/>
    </row>
    <row r="73" ht="15.75">
      <c r="A73" s="85" t="s">
        <v>198</v>
      </c>
      <c r="B73" s="86"/>
      <c r="C73" s="86"/>
      <c r="D73" s="86"/>
      <c r="E73" s="87">
        <f>E18+E26+E31+E39+E43+E54+E63+E72</f>
        <v>329</v>
      </c>
      <c r="F73" s="87">
        <f>F18+F26+F31+F39+F43+F54+F63+F72</f>
        <v>329</v>
      </c>
      <c r="G73" s="87">
        <f>G18+G26+G31+G39+G43+G54+G63+G72</f>
        <v>329</v>
      </c>
      <c r="H73" s="88"/>
      <c r="I73" s="89"/>
      <c r="J73" s="89"/>
      <c r="K73" s="89"/>
      <c r="L73" s="89"/>
      <c r="M73" s="89"/>
      <c r="N73" s="90"/>
      <c r="O73" s="58"/>
    </row>
    <row r="74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58"/>
    </row>
    <row r="75">
      <c r="O75" s="58"/>
    </row>
    <row r="80" ht="31.5" customHeight="1"/>
    <row r="81" ht="33.75" customHeight="1"/>
  </sheetData>
  <sheetProtection autoFilter="1" deleteColumns="1" deleteRows="0" formatCells="1" formatColumns="1" formatRows="1" insertColumns="1" insertHyperlinks="1" insertRows="0" pivotTables="1" selectLockedCells="0" selectUnlockedCells="0" sheet="0" sort="1"/>
  <mergeCells count="31">
    <mergeCell ref="A2:N2"/>
    <mergeCell ref="A3:N3"/>
    <mergeCell ref="L5:M5"/>
    <mergeCell ref="A6:B6"/>
    <mergeCell ref="L6:M6"/>
    <mergeCell ref="A7:G7"/>
    <mergeCell ref="L7:M7"/>
    <mergeCell ref="A8:G8"/>
    <mergeCell ref="L8:M8"/>
    <mergeCell ref="L9:M9"/>
    <mergeCell ref="L10:M10"/>
    <mergeCell ref="A12:A14"/>
    <mergeCell ref="B12:B14"/>
    <mergeCell ref="C12:C14"/>
    <mergeCell ref="D12:D14"/>
    <mergeCell ref="E12:G13"/>
    <mergeCell ref="H12:M12"/>
    <mergeCell ref="N12:N14"/>
    <mergeCell ref="H13:H14"/>
    <mergeCell ref="I13:I14"/>
    <mergeCell ref="J13:J14"/>
    <mergeCell ref="K13:M13"/>
    <mergeCell ref="A18:D18"/>
    <mergeCell ref="A26:D26"/>
    <mergeCell ref="A31:D31"/>
    <mergeCell ref="A39:D39"/>
    <mergeCell ref="A43:D43"/>
    <mergeCell ref="A54:D54"/>
    <mergeCell ref="A63:D63"/>
    <mergeCell ref="A72:D72"/>
    <mergeCell ref="A73:D73"/>
  </mergeCells>
  <dataValidations count="6" disablePrompts="0">
    <dataValidation sqref="L10:M10" type="list" allowBlank="1" errorStyle="stop" imeMode="noControl" operator="between" showDropDown="0" showErrorMessage="1" showInputMessage="1">
      <formula1>Справочники!$A$33:$A$42</formula1>
    </dataValidation>
    <dataValidation sqref="L9:M9" type="list" allowBlank="1" errorStyle="stop" imeMode="noControl" operator="between" showDropDown="0" showErrorMessage="1" showInputMessage="1">
      <formula1>Справочники!$B$33:$B$36</formula1>
    </dataValidation>
    <dataValidation sqref="A15:A17" type="list" allowBlank="1" errorStyle="stop" imeMode="noControl" operator="between" showDropDown="0" showErrorMessage="1" showInputMessage="1">
      <formula1>Лист2!$B$8:$B$179</formula1>
    </dataValidation>
    <dataValidation sqref="N6" type="list" allowBlank="1" errorStyle="stop" imeMode="noControl" operator="between" showDropDown="0" showErrorMessage="1" showInputMessage="1">
      <formula1>Справочники!$B$45:$B$46</formula1>
    </dataValidation>
    <dataValidation sqref="A19:A25 A27:A30 A32:A38 A40:A42 A55:A62 A64:A71 A44:A53" type="list" allowBlank="1" errorStyle="stop" imeMode="noControl" operator="between" showDropDown="0" showErrorMessage="1" showInputMessage="1">
      <formula1>'Р 1. "Общие сведения"'!$J$8:$J$179</formula1>
    </dataValidation>
    <dataValidation sqref="A7:G7" type="list" allowBlank="1" errorStyle="stop" imeMode="noControl" operator="between" showDropDown="0" showErrorMessage="1" showInputMessage="1">
      <formula1>Справочники!$B$3:$B$30</formula1>
    </dataValidation>
  </dataValidations>
  <printOptions headings="0" gridLines="0"/>
  <pageMargins left="0.23622047244094491" right="0.23622047244094491" top="0" bottom="0" header="0.31496062992125984" footer="0.31496062992125984"/>
  <pageSetup paperSize="9" scale="55" fitToWidth="1" fitToHeight="0" pageOrder="downThenOver" orientation="landscape" usePrinterDefaults="1" blackAndWhite="0" draft="0" cellComments="none" useFirstPageNumber="0" errors="displayed" horizontalDpi="600" verticalDpi="600" copies="1"/>
  <headerFooter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5">
    <outlinePr applyStyles="0" summaryBelow="1" summaryRight="1" showOutlineSymbols="1"/>
    <pageSetUpPr autoPageBreaks="1" fitToPage="1"/>
  </sheetPr>
  <sheetViews>
    <sheetView view="pageBreakPreview" topLeftCell="C11" zoomScale="85" workbookViewId="0">
      <selection activeCell="J12" activeCellId="0" sqref="J12"/>
    </sheetView>
  </sheetViews>
  <sheetFormatPr defaultRowHeight="14.25"/>
  <cols>
    <col customWidth="1" hidden="1" min="1" max="1" style="91" width="8.28515625"/>
    <col customWidth="1" hidden="1" min="2" max="2" style="91" width="11.85546875"/>
    <col customWidth="1" min="3" max="3" style="91" width="32.28515625"/>
    <col customWidth="1" min="4" max="4" style="91" width="25.7109375"/>
    <col customWidth="1" min="5" max="5" style="91" width="17.7109375"/>
    <col customWidth="1" min="6" max="6" style="91" width="19.85546875"/>
    <col customWidth="1" min="7" max="7" style="91" width="22.140625"/>
    <col customWidth="1" min="8" max="8" style="92" width="18.85546875"/>
    <col customWidth="1" min="9" max="9" style="91" width="33.28515625"/>
    <col customWidth="1" min="10" max="10" style="91" width="18"/>
    <col customWidth="1" min="11" max="11" style="91" width="18.7109375"/>
    <col bestFit="1" customWidth="1" min="12" max="12" style="91" width="21.42578125"/>
    <col customWidth="1" min="13" max="13" style="91" width="19.140625"/>
    <col customWidth="1" min="14" max="14" style="91" width="14.140625"/>
    <col customWidth="1" min="15" max="15" style="91" width="32"/>
    <col customWidth="1" min="16" max="16" style="91" width="30.7109375"/>
    <col min="17" max="16384" style="91" width="9.140625"/>
  </cols>
  <sheetData>
    <row r="1" ht="15">
      <c r="C1" s="93"/>
      <c r="D1" s="93"/>
      <c r="E1" s="93"/>
      <c r="F1" s="93"/>
      <c r="G1" s="93"/>
      <c r="H1" s="94"/>
      <c r="I1" s="93"/>
      <c r="J1" s="93"/>
      <c r="K1" s="93"/>
      <c r="L1" s="93"/>
      <c r="M1" s="93"/>
      <c r="N1" s="93"/>
      <c r="O1" s="93"/>
      <c r="P1" s="93"/>
    </row>
    <row r="2" ht="15">
      <c r="C2" s="95" t="s">
        <v>199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ht="15">
      <c r="C3" s="96" t="s">
        <v>200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ht="15">
      <c r="C4" s="95" t="s">
        <v>201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ht="15">
      <c r="C5" s="93"/>
      <c r="D5" s="93"/>
      <c r="E5" s="93"/>
      <c r="F5" s="93"/>
      <c r="G5" s="93"/>
      <c r="H5" s="94"/>
      <c r="I5" s="93"/>
      <c r="J5" s="93"/>
      <c r="K5" s="93"/>
      <c r="L5" s="93"/>
      <c r="M5" s="93"/>
      <c r="N5" s="93"/>
      <c r="O5" s="93"/>
      <c r="P5" s="93"/>
    </row>
    <row r="6" s="97" customFormat="1" ht="138.75" customHeight="1">
      <c r="A6" s="97" t="s">
        <v>202</v>
      </c>
      <c r="B6" s="98" t="s">
        <v>203</v>
      </c>
      <c r="C6" s="99" t="s">
        <v>204</v>
      </c>
      <c r="D6" s="100" t="s">
        <v>205</v>
      </c>
      <c r="E6" s="101" t="s">
        <v>206</v>
      </c>
      <c r="F6" s="102" t="s">
        <v>207</v>
      </c>
      <c r="G6" s="102" t="s">
        <v>208</v>
      </c>
      <c r="H6" s="102" t="s">
        <v>209</v>
      </c>
      <c r="I6" s="103" t="s">
        <v>210</v>
      </c>
      <c r="J6" s="103" t="s">
        <v>211</v>
      </c>
      <c r="K6" s="102" t="s">
        <v>212</v>
      </c>
      <c r="L6" s="101" t="s">
        <v>213</v>
      </c>
      <c r="M6" s="101" t="s">
        <v>214</v>
      </c>
      <c r="N6" s="101" t="s">
        <v>215</v>
      </c>
      <c r="O6" s="101" t="s">
        <v>216</v>
      </c>
      <c r="P6" s="104" t="s">
        <v>217</v>
      </c>
    </row>
    <row r="7" hidden="1">
      <c r="A7" s="91" t="s">
        <v>218</v>
      </c>
      <c r="B7" s="91" t="s">
        <v>219</v>
      </c>
      <c r="C7" s="91" t="s">
        <v>220</v>
      </c>
      <c r="F7" s="92"/>
      <c r="G7" s="92"/>
      <c r="I7" s="105"/>
      <c r="J7" s="105"/>
      <c r="K7" s="8"/>
      <c r="L7" s="91" t="b">
        <f>IF(A7="Аппарат Губернатора и Правительства Оренбургской области",Справочники!D4,IF(A7="Министерство здравоохранения Оренбургской области",Справочники!D5,IF(A7="Министерство социального развития Оренбургской области",Справочники!D6,IF(A7="Министерство культуры Оренбургской области",Справочники!D8,IF(A7="Министерство физической культуры и спорта Оренбургской области",Справочники!D9,IF(A7="Министерство образования Оренбургской области",Справочники!D10,IF(A7="Министерство природных ресурсов, экологии и имущественных отношений Оренбургской области",Справочники!D11,IF(A7="Министерство сельского хозяйства, торговли, пищевой и перерабатывающей промышленности Оренбургской области",Справочники!D12,IF(A7="Министерство строительства, жилищно-коммунального, дорожного хозяйства и транспорта Оренбургской области",Справочники!D13,IF(A7="Министерство труда и занятости населения Оренбургской области",Справочники!D14,IF(A7="Министерство финансов Оренбургской области",Справочники!D15,IF(A7="Министерство внутреннего государственного финансового контроля Оренбургской области",Справочники!D30,IF(A7="Министерство экономического развития, инвестиций, туризма и внешних связей Оренбургской области",Справочники!D16,IF(A7="Департамент Оренбургской области по ценам и регулированию тарифов",Справочники!D20,IF(A7="Департамент пожарной безопасности и гражданской защиты Оренбургской области",Справочники!D22,IF(A7="Департамент молодежной политики Оренбургской области",Справочники!D21,IF(A7="Департамент информационных технологий Оренбургской области",Справочники!D18,IF(A7="Государственная жилищная инспекция по Оренбургской области",Справочники!D23,IF(A7="Инспекция государственного строительного надзора Оренбургской области",Справочники!D24,IF(A7="Комитет по обеспечению деятельности мировых судей Оренбургской области",Справочники!D26,IF(A7="Комитет по вопросам записи актов гражданского состояния Оренбургской области",Справочники!D27,IF(A7="Комитет по делам архивов Оренбургской области",Справочники!D28,IF(A7="Инспекция государственной охраны объектов культурного наследия Оренбургской области",Справочники!D25,IF(A7="Комитет по профилактике коррупционных правонарушений Оренбургской области",Справочники!D29,IF(A7="Министерство промышленности и энергетики Оренбургской области",Справочники!D17)))))))))))))))))))))))))</f>
        <v>0</v>
      </c>
    </row>
    <row r="8" ht="210">
      <c r="A8" s="91">
        <f>IF(I8="","",1)</f>
        <v>1</v>
      </c>
      <c r="B8" s="91" t="str">
        <f>IF(AND(A8=1,'План инф-ции (титул)'!$N$6&lt;&gt;""),"001П","001")</f>
        <v>001</v>
      </c>
      <c r="C8" s="91" t="s">
        <v>177</v>
      </c>
      <c r="D8" s="106" t="s">
        <v>221</v>
      </c>
      <c r="E8" s="107"/>
      <c r="F8" s="108" t="s">
        <v>27</v>
      </c>
      <c r="G8" s="108" t="s">
        <v>27</v>
      </c>
      <c r="H8" s="108" t="s">
        <v>32</v>
      </c>
      <c r="I8" s="108" t="str">
        <f t="shared" ref="I8:I9" si="0">CONCATENATE(H8," ",D8)</f>
        <v xml:space="preserve">Эксплуатация Связь и Интернет</v>
      </c>
      <c r="J8" s="107" t="str">
        <f>IF(OR(H8="",I8="",D8="",F8="",G8=""),"",CONCATENATE('План инф-ции (титул)'!$P$6,".",LEFT(H8,1),".",B8))</f>
        <v>818.Э.001</v>
      </c>
      <c r="K8" s="109" t="s">
        <v>46</v>
      </c>
      <c r="L8" s="110" t="s">
        <v>222</v>
      </c>
      <c r="M8" s="108" t="s">
        <v>223</v>
      </c>
      <c r="N8" s="108"/>
      <c r="O8" s="108"/>
      <c r="P8" s="108"/>
    </row>
    <row r="9" ht="210">
      <c r="A9" s="91">
        <f>IF(I9="","",A8+1)</f>
        <v>2</v>
      </c>
      <c r="B9" s="91" t="str">
        <f>IF(AND(A9=2,'План инф-ции (титул)'!$N$6&lt;&gt;""),"002П","002")</f>
        <v>002</v>
      </c>
      <c r="C9" s="91" t="s">
        <v>177</v>
      </c>
      <c r="D9" s="106" t="s">
        <v>224</v>
      </c>
      <c r="E9" s="107"/>
      <c r="F9" s="108" t="s">
        <v>27</v>
      </c>
      <c r="G9" s="108" t="s">
        <v>27</v>
      </c>
      <c r="H9" s="108" t="s">
        <v>32</v>
      </c>
      <c r="I9" s="108" t="str">
        <f t="shared" si="0"/>
        <v xml:space="preserve">Эксплуатация Оргтехника</v>
      </c>
      <c r="J9" s="107" t="str">
        <f>IF(OR(H9="",I9="",D9="",F9="",G9=""),"",CONCATENATE('План инф-ции (титул)'!$P$6,".",LEFT(H9,1),".",B9))</f>
        <v>818.Э.002</v>
      </c>
      <c r="K9" s="109" t="s">
        <v>46</v>
      </c>
      <c r="L9" s="110" t="s">
        <v>222</v>
      </c>
      <c r="M9" s="108" t="s">
        <v>223</v>
      </c>
      <c r="N9" s="108"/>
      <c r="O9" s="108"/>
      <c r="P9" s="108"/>
    </row>
    <row r="10" ht="240">
      <c r="A10" s="91">
        <f>IF(I10="","",A9+1)</f>
        <v>3</v>
      </c>
      <c r="B10" s="91" t="str">
        <f>IF(AND(A10=3,'План инф-ции (титул)'!$N$6&lt;&gt;""),"003П","003")</f>
        <v>003</v>
      </c>
      <c r="C10" s="91" t="s">
        <v>177</v>
      </c>
      <c r="D10" s="111" t="s">
        <v>225</v>
      </c>
      <c r="E10" s="112"/>
      <c r="F10" s="113" t="s">
        <v>27</v>
      </c>
      <c r="G10" s="113" t="s">
        <v>27</v>
      </c>
      <c r="H10" s="113" t="s">
        <v>32</v>
      </c>
      <c r="I10" s="113" t="str">
        <f t="shared" ref="I10:I73" si="1">CONCATENATE(H10," ",D10)</f>
        <v xml:space="preserve">Эксплуатация Система электронной отчетности "Контур.Экстерн"</v>
      </c>
      <c r="J10" s="112" t="str">
        <f>IF(OR(H10="",I10="",D10="",F10="",G10=""),"",CONCATENATE('План инф-ции (титул)'!$P$6,".",LEFT(H10,1),".",B10))</f>
        <v>818.Э.003</v>
      </c>
      <c r="K10" s="114" t="s">
        <v>46</v>
      </c>
      <c r="L10" s="115" t="s">
        <v>226</v>
      </c>
      <c r="M10" s="113" t="s">
        <v>223</v>
      </c>
      <c r="N10" s="108"/>
      <c r="O10" s="108"/>
      <c r="P10" s="108"/>
    </row>
    <row r="11" ht="210">
      <c r="C11" s="116" t="s">
        <v>177</v>
      </c>
      <c r="D11" s="111" t="s">
        <v>227</v>
      </c>
      <c r="E11" s="112"/>
      <c r="F11" s="113" t="s">
        <v>27</v>
      </c>
      <c r="G11" s="113" t="s">
        <v>27</v>
      </c>
      <c r="H11" s="113" t="s">
        <v>32</v>
      </c>
      <c r="I11" s="113" t="s">
        <v>228</v>
      </c>
      <c r="J11" s="112" t="str">
        <f>'План инф-ции (титул)'!A47</f>
        <v>818.Э.003</v>
      </c>
      <c r="K11" s="114" t="s">
        <v>46</v>
      </c>
      <c r="L11" s="117" t="s">
        <v>222</v>
      </c>
      <c r="M11" s="113" t="s">
        <v>223</v>
      </c>
      <c r="N11" s="108"/>
      <c r="O11" s="108"/>
      <c r="P11" s="108"/>
    </row>
    <row r="12" ht="210">
      <c r="A12" s="91">
        <f>IF(I12="","",A10+1)</f>
        <v>4</v>
      </c>
      <c r="B12" s="91" t="str">
        <f>IF(AND(A12=4,'План инф-ции (титул)'!$N$6&lt;&gt;""),"004П","004")</f>
        <v>004</v>
      </c>
      <c r="C12" s="116" t="s">
        <v>177</v>
      </c>
      <c r="D12" s="106" t="s">
        <v>229</v>
      </c>
      <c r="E12" s="107"/>
      <c r="F12" s="108" t="s">
        <v>24</v>
      </c>
      <c r="G12" s="108" t="s">
        <v>27</v>
      </c>
      <c r="H12" s="108" t="s">
        <v>32</v>
      </c>
      <c r="I12" s="108" t="str">
        <f t="shared" si="1"/>
        <v xml:space="preserve">Эксплуатация  Создание АРМ, оборудование для ЛВС</v>
      </c>
      <c r="J12" s="107" t="str">
        <f>IF(OR(H12="",I12="",D12="",F12="",G12=""),"",CONCATENATE('План инф-ции (титул)'!$P$6,".",LEFT(H12,1),".",B12))</f>
        <v>818.Э.004</v>
      </c>
      <c r="K12" s="109" t="s">
        <v>46</v>
      </c>
      <c r="L12" s="108" t="s">
        <v>230</v>
      </c>
      <c r="M12" s="108" t="s">
        <v>223</v>
      </c>
      <c r="N12" s="108"/>
      <c r="O12" s="108"/>
      <c r="P12" s="108"/>
    </row>
    <row r="13" ht="15">
      <c r="C13" s="116"/>
      <c r="D13" s="106"/>
      <c r="E13" s="107"/>
      <c r="F13" s="108"/>
      <c r="G13" s="108"/>
      <c r="H13" s="108"/>
      <c r="I13" s="108"/>
      <c r="J13" s="107"/>
      <c r="K13" s="109"/>
      <c r="L13" s="108"/>
      <c r="M13" s="108"/>
      <c r="N13" s="108"/>
      <c r="O13" s="108"/>
      <c r="P13" s="108"/>
    </row>
    <row r="14" ht="15">
      <c r="A14" s="91" t="str">
        <f t="shared" ref="A14:A77" si="2">IF(I14="","",A13+1)</f>
        <v/>
      </c>
      <c r="B14" s="91" t="str">
        <f>IF(AND(A14=6,'План инф-ции (титул)'!$N$6&lt;&gt;""),"006П","006")</f>
        <v>006</v>
      </c>
      <c r="C14" s="116"/>
      <c r="D14" s="106"/>
      <c r="E14" s="107"/>
      <c r="F14" s="118"/>
      <c r="G14" s="118"/>
      <c r="H14" s="118"/>
      <c r="I14" s="119"/>
      <c r="J14" s="107" t="str">
        <f>IF(OR(H14="",I14="",D14="",F14="",G14=""),"",CONCATENATE('План инф-ции (титул)'!$P$6,".",LEFT(H14,1),".",B14))</f>
        <v/>
      </c>
      <c r="K14" s="23"/>
      <c r="L14" s="119"/>
      <c r="M14" s="120"/>
      <c r="N14" s="108"/>
      <c r="O14" s="108"/>
      <c r="P14" s="108"/>
    </row>
    <row r="15" ht="15">
      <c r="A15" s="91" t="str">
        <f t="shared" si="2"/>
        <v/>
      </c>
      <c r="B15" s="91" t="str">
        <f>IF(AND(A15=7,'План инф-ции (титул)'!$N$6&lt;&gt;""),"007П","007")</f>
        <v>007</v>
      </c>
      <c r="C15" s="116"/>
      <c r="D15" s="106"/>
      <c r="E15" s="107"/>
      <c r="F15" s="108"/>
      <c r="G15" s="108"/>
      <c r="H15" s="108"/>
      <c r="I15" s="108"/>
      <c r="J15" s="107"/>
      <c r="K15" s="109"/>
      <c r="L15" s="108"/>
      <c r="M15" s="108"/>
      <c r="N15" s="108"/>
      <c r="O15" s="108"/>
      <c r="P15" s="108"/>
    </row>
    <row r="16" ht="15">
      <c r="A16" s="91" t="str">
        <f t="shared" si="2"/>
        <v/>
      </c>
      <c r="B16" s="91" t="str">
        <f>IF(AND(A16=8,'План инф-ции (титул)'!$N$6&lt;&gt;""),"008П","008")</f>
        <v>008</v>
      </c>
      <c r="C16" s="116"/>
      <c r="D16" s="121"/>
      <c r="E16" s="107"/>
      <c r="F16" s="108"/>
      <c r="G16" s="108"/>
      <c r="H16" s="108"/>
      <c r="I16" s="108"/>
      <c r="J16" s="107"/>
      <c r="K16" s="109"/>
      <c r="L16" s="108"/>
      <c r="M16" s="108"/>
      <c r="N16" s="108"/>
      <c r="O16" s="108"/>
      <c r="P16" s="107"/>
    </row>
    <row r="17" ht="15">
      <c r="A17" s="91" t="str">
        <f t="shared" si="2"/>
        <v/>
      </c>
      <c r="B17" s="91" t="str">
        <f>IF(AND(A17=9,'План инф-ции (титул)'!$N$6&lt;&gt;""),"009П","009")</f>
        <v>009</v>
      </c>
      <c r="C17" s="116"/>
      <c r="D17" s="122"/>
      <c r="E17" s="107"/>
      <c r="F17" s="108"/>
      <c r="G17" s="108"/>
      <c r="H17" s="108"/>
      <c r="I17" s="108"/>
      <c r="J17" s="107"/>
      <c r="K17" s="109"/>
      <c r="L17" s="108"/>
      <c r="M17" s="123"/>
      <c r="N17" s="108"/>
      <c r="O17" s="108"/>
      <c r="P17" s="108"/>
    </row>
    <row r="18" ht="15">
      <c r="A18" s="91" t="str">
        <f t="shared" si="2"/>
        <v/>
      </c>
      <c r="B18" s="91" t="str">
        <f>IF(AND(A18=10,'План инф-ции (титул)'!$N$6&lt;&gt;""),"010П","010")</f>
        <v>010</v>
      </c>
      <c r="C18" s="116"/>
      <c r="D18" s="122"/>
      <c r="E18" s="107"/>
      <c r="F18" s="108"/>
      <c r="G18" s="108"/>
      <c r="H18" s="108"/>
      <c r="I18" s="108"/>
      <c r="J18" s="107"/>
      <c r="K18" s="109"/>
      <c r="L18" s="108"/>
      <c r="M18" s="123"/>
      <c r="N18" s="108"/>
      <c r="O18" s="108"/>
      <c r="P18" s="108"/>
    </row>
    <row r="19" ht="15">
      <c r="A19" s="91" t="str">
        <f t="shared" si="2"/>
        <v/>
      </c>
      <c r="B19" s="91" t="str">
        <f>IF(AND(A19=11,'План инф-ции (титул)'!$N$6&lt;&gt;""),"011П","011")</f>
        <v>011</v>
      </c>
      <c r="C19" s="116"/>
      <c r="D19" s="122"/>
      <c r="E19" s="107"/>
      <c r="F19" s="108"/>
      <c r="G19" s="108"/>
      <c r="H19" s="108"/>
      <c r="I19" s="108"/>
      <c r="J19" s="107"/>
      <c r="K19" s="109"/>
      <c r="L19" s="108"/>
      <c r="M19" s="123"/>
      <c r="N19" s="108"/>
      <c r="O19" s="108"/>
      <c r="P19" s="108"/>
    </row>
    <row r="20" ht="15">
      <c r="A20" s="91" t="str">
        <f t="shared" si="2"/>
        <v/>
      </c>
      <c r="B20" s="91" t="str">
        <f>IF(AND(A20=12,'План инф-ции (титул)'!$N$6&lt;&gt;""),"012П","012")</f>
        <v>012</v>
      </c>
      <c r="C20" s="116"/>
      <c r="D20" s="106"/>
      <c r="E20" s="107"/>
      <c r="F20" s="108"/>
      <c r="G20" s="108"/>
      <c r="H20" s="108"/>
      <c r="I20" s="108"/>
      <c r="J20" s="107"/>
      <c r="K20" s="109"/>
      <c r="L20" s="108"/>
      <c r="M20" s="123"/>
      <c r="N20" s="108"/>
      <c r="O20" s="108"/>
      <c r="P20" s="108"/>
    </row>
    <row r="21" ht="15">
      <c r="A21" s="91" t="str">
        <f t="shared" si="2"/>
        <v/>
      </c>
      <c r="B21" s="91" t="str">
        <f>IF(AND(A21=13,'План инф-ции (титул)'!$N$6&lt;&gt;""),"013П","013")</f>
        <v>013</v>
      </c>
      <c r="C21" s="116"/>
      <c r="D21" s="106"/>
      <c r="E21" s="107"/>
      <c r="F21" s="108"/>
      <c r="G21" s="108"/>
      <c r="H21" s="108"/>
      <c r="I21" s="108"/>
      <c r="J21" s="107"/>
      <c r="K21" s="109"/>
      <c r="L21" s="108"/>
      <c r="M21" s="108"/>
      <c r="N21" s="108"/>
      <c r="O21" s="108"/>
      <c r="P21" s="124"/>
    </row>
    <row r="22" ht="15">
      <c r="A22" s="91" t="str">
        <f t="shared" si="2"/>
        <v/>
      </c>
      <c r="B22" s="91" t="str">
        <f>IF(AND(A22=14,'План инф-ции (титул)'!$N$6&lt;&gt;""),"014П","014")</f>
        <v>014</v>
      </c>
      <c r="C22" s="116"/>
      <c r="D22" s="106"/>
      <c r="E22" s="125"/>
      <c r="F22" s="108"/>
      <c r="G22" s="108"/>
      <c r="H22" s="108"/>
      <c r="I22" s="108"/>
      <c r="J22" s="107"/>
      <c r="K22" s="109"/>
      <c r="L22" s="108"/>
      <c r="M22" s="108"/>
      <c r="N22" s="108"/>
      <c r="O22" s="108"/>
      <c r="P22" s="119"/>
    </row>
    <row r="23" ht="15">
      <c r="A23" s="91" t="str">
        <f t="shared" si="2"/>
        <v/>
      </c>
      <c r="B23" s="91" t="str">
        <f>IF(AND(A23=15,'План инф-ции (титул)'!$N$6&lt;&gt;""),"015П","015")</f>
        <v>015</v>
      </c>
      <c r="C23" s="116"/>
      <c r="D23" s="106"/>
      <c r="E23" s="125"/>
      <c r="F23" s="108"/>
      <c r="G23" s="108"/>
      <c r="H23" s="108"/>
      <c r="I23" s="108"/>
      <c r="J23" s="107"/>
      <c r="K23" s="109"/>
      <c r="L23" s="108"/>
      <c r="M23" s="123"/>
      <c r="N23" s="108"/>
      <c r="O23" s="108"/>
      <c r="P23" s="119"/>
    </row>
    <row r="24" ht="15">
      <c r="A24" s="91" t="str">
        <f t="shared" si="2"/>
        <v/>
      </c>
      <c r="B24" s="91" t="str">
        <f>IF(AND(A24=16,'План инф-ции (титул)'!$N$6&lt;&gt;""),"016П","016")</f>
        <v>016</v>
      </c>
      <c r="C24" s="116"/>
      <c r="D24" s="126"/>
      <c r="E24" s="127"/>
      <c r="F24" s="108"/>
      <c r="G24" s="108"/>
      <c r="H24" s="108"/>
      <c r="I24" s="108"/>
      <c r="J24" s="107"/>
      <c r="K24" s="109"/>
      <c r="L24" s="108"/>
      <c r="M24" s="108"/>
      <c r="N24" s="119"/>
      <c r="O24" s="119"/>
      <c r="P24" s="119"/>
    </row>
    <row r="25" ht="15">
      <c r="A25" s="91" t="str">
        <f t="shared" si="2"/>
        <v/>
      </c>
      <c r="B25" s="91" t="str">
        <f>IF(AND(A25=17,'План инф-ции (титул)'!$N$6&lt;&gt;""),"017П","017")</f>
        <v>017</v>
      </c>
      <c r="C25" s="116"/>
      <c r="D25" s="106"/>
      <c r="E25" s="127"/>
      <c r="F25" s="108"/>
      <c r="G25" s="108"/>
      <c r="H25" s="108"/>
      <c r="I25" s="108"/>
      <c r="J25" s="107"/>
      <c r="K25" s="109"/>
      <c r="L25" s="108"/>
      <c r="M25" s="108"/>
      <c r="N25" s="119"/>
      <c r="O25" s="119"/>
      <c r="P25" s="119"/>
    </row>
    <row r="26">
      <c r="A26" s="91" t="e">
        <f t="shared" si="2"/>
        <v>#VALUE!</v>
      </c>
      <c r="B26" s="91" t="e">
        <f>IF(AND(A26=18,'План инф-ции (титул)'!$N$6&lt;&gt;""),"018П","018")</f>
        <v>#VALUE!</v>
      </c>
      <c r="D26" s="97"/>
      <c r="F26" s="92"/>
      <c r="G26" s="92"/>
      <c r="I26" s="97" t="str">
        <f t="shared" si="1"/>
        <v xml:space="preserve"> </v>
      </c>
      <c r="J26" s="91" t="str">
        <f>IF(OR(H26="",I26="",D26="",F26="",G26=""),"",CONCATENATE('План инф-ции (титул)'!$P$6,".",LEFT(H26,1),".",B26))</f>
        <v/>
      </c>
      <c r="K26" s="8"/>
      <c r="L26" s="97"/>
      <c r="M26" s="128"/>
      <c r="N26" s="97"/>
      <c r="O26" s="97"/>
      <c r="P26" s="97"/>
    </row>
    <row r="27">
      <c r="A27" s="91" t="e">
        <f t="shared" si="2"/>
        <v>#VALUE!</v>
      </c>
      <c r="B27" s="91" t="e">
        <f>IF(AND(A27=19,'План инф-ции (титул)'!$N$6&lt;&gt;""),"019П","019")</f>
        <v>#VALUE!</v>
      </c>
      <c r="D27" s="97"/>
      <c r="F27" s="92"/>
      <c r="G27" s="92"/>
      <c r="I27" s="97" t="str">
        <f t="shared" si="1"/>
        <v xml:space="preserve"> </v>
      </c>
      <c r="J27" s="91" t="str">
        <f>IF(OR(H27="",I27="",D27="",F27="",G27=""),"",CONCATENATE('План инф-ции (титул)'!$P$6,".",LEFT(H27,1),".",B27))</f>
        <v/>
      </c>
      <c r="K27" s="8"/>
      <c r="L27" s="97"/>
      <c r="M27" s="128"/>
      <c r="N27" s="97"/>
      <c r="O27" s="97"/>
      <c r="P27" s="97"/>
    </row>
    <row r="28">
      <c r="A28" s="91" t="e">
        <f t="shared" si="2"/>
        <v>#VALUE!</v>
      </c>
      <c r="B28" s="91" t="e">
        <f>IF(AND(A28=20,'План инф-ции (титул)'!$N$6&lt;&gt;""),"020П","020")</f>
        <v>#VALUE!</v>
      </c>
      <c r="D28" s="97"/>
      <c r="F28" s="92"/>
      <c r="G28" s="92"/>
      <c r="I28" s="97" t="str">
        <f t="shared" si="1"/>
        <v xml:space="preserve"> </v>
      </c>
      <c r="J28" s="91" t="str">
        <f>IF(OR(H28="",I28="",D28="",F28="",G28=""),"",CONCATENATE('План инф-ции (титул)'!$P$6,".",LEFT(H28,1),".",B28))</f>
        <v/>
      </c>
      <c r="K28" s="8"/>
      <c r="L28" s="97"/>
      <c r="M28" s="128"/>
      <c r="N28" s="97"/>
      <c r="O28" s="97"/>
      <c r="P28" s="97"/>
    </row>
    <row r="29">
      <c r="A29" s="91" t="e">
        <f t="shared" si="2"/>
        <v>#VALUE!</v>
      </c>
      <c r="B29" s="91" t="e">
        <f>IF(AND(A29=21,'План инф-ции (титул)'!$N$6&lt;&gt;""),"021П","021")</f>
        <v>#VALUE!</v>
      </c>
      <c r="D29" s="97"/>
      <c r="F29" s="92"/>
      <c r="G29" s="92"/>
      <c r="I29" s="97" t="str">
        <f t="shared" si="1"/>
        <v xml:space="preserve"> </v>
      </c>
      <c r="J29" s="91" t="str">
        <f>IF(OR(H29="",I29="",D29="",F29="",G29=""),"",CONCATENATE('План инф-ции (титул)'!$P$6,".",LEFT(H29,1),".",B29))</f>
        <v/>
      </c>
      <c r="K29" s="8"/>
      <c r="L29" s="97"/>
      <c r="M29" s="128"/>
      <c r="N29" s="97"/>
      <c r="O29" s="97"/>
      <c r="P29" s="97"/>
    </row>
    <row r="30">
      <c r="A30" s="91" t="e">
        <f t="shared" si="2"/>
        <v>#VALUE!</v>
      </c>
      <c r="B30" s="91" t="e">
        <f>IF(AND(A30=22,'План инф-ции (титул)'!$N$6&lt;&gt;""),"022П","022")</f>
        <v>#VALUE!</v>
      </c>
      <c r="D30" s="97"/>
      <c r="F30" s="92"/>
      <c r="G30" s="92"/>
      <c r="I30" s="97" t="str">
        <f t="shared" si="1"/>
        <v xml:space="preserve"> </v>
      </c>
      <c r="J30" s="91" t="str">
        <f>IF(OR(H30="",I30="",D30="",F30="",G30=""),"",CONCATENATE('План инф-ции (титул)'!$P$6,".",LEFT(H30,1),".",B30))</f>
        <v/>
      </c>
      <c r="K30" s="8"/>
      <c r="L30" s="97"/>
      <c r="M30" s="128"/>
      <c r="N30" s="97"/>
      <c r="O30" s="97"/>
      <c r="P30" s="97"/>
    </row>
    <row r="31">
      <c r="A31" s="91" t="e">
        <f t="shared" si="2"/>
        <v>#VALUE!</v>
      </c>
      <c r="B31" s="91" t="e">
        <f>IF(AND(A31=23,'План инф-ции (титул)'!$N$6&lt;&gt;""),"023П","023")</f>
        <v>#VALUE!</v>
      </c>
      <c r="D31" s="97"/>
      <c r="F31" s="92"/>
      <c r="G31" s="92"/>
      <c r="I31" s="97" t="str">
        <f t="shared" si="1"/>
        <v xml:space="preserve"> </v>
      </c>
      <c r="J31" s="91" t="str">
        <f>IF(OR(H31="",I31="",D31="",F31="",G31=""),"",CONCATENATE('План инф-ции (титул)'!$P$6,".",LEFT(H31,1),".",B31))</f>
        <v/>
      </c>
      <c r="K31" s="8"/>
      <c r="L31" s="97"/>
      <c r="M31" s="128"/>
      <c r="N31" s="97"/>
      <c r="O31" s="97"/>
      <c r="P31" s="97"/>
    </row>
    <row r="32">
      <c r="A32" s="91" t="e">
        <f t="shared" si="2"/>
        <v>#VALUE!</v>
      </c>
      <c r="B32" s="91" t="e">
        <f>IF(AND(A32=24,'План инф-ции (титул)'!$N$6&lt;&gt;""),"024П","024")</f>
        <v>#VALUE!</v>
      </c>
      <c r="D32" s="97"/>
      <c r="F32" s="92"/>
      <c r="G32" s="92"/>
      <c r="I32" s="97" t="str">
        <f t="shared" si="1"/>
        <v xml:space="preserve"> </v>
      </c>
      <c r="J32" s="91" t="str">
        <f>IF(OR(H32="",I32="",D32="",F32="",G32=""),"",CONCATENATE('План инф-ции (титул)'!$P$6,".",LEFT(H32,1),".",B32))</f>
        <v/>
      </c>
      <c r="K32" s="8"/>
      <c r="L32" s="97"/>
      <c r="M32" s="97"/>
      <c r="N32" s="97"/>
      <c r="O32" s="97"/>
      <c r="P32" s="97"/>
    </row>
    <row r="33">
      <c r="A33" s="91" t="e">
        <f t="shared" si="2"/>
        <v>#VALUE!</v>
      </c>
      <c r="B33" s="91" t="e">
        <f>IF(AND(A33=25,'План инф-ции (титул)'!$N$6&lt;&gt;""),"025П","025")</f>
        <v>#VALUE!</v>
      </c>
      <c r="D33" s="97"/>
      <c r="F33" s="92"/>
      <c r="G33" s="92"/>
      <c r="I33" s="97" t="str">
        <f t="shared" si="1"/>
        <v xml:space="preserve"> </v>
      </c>
      <c r="J33" s="91" t="str">
        <f>IF(OR(H33="",I33="",D33="",F33="",G33=""),"",CONCATENATE('План инф-ции (титул)'!$P$6,".",LEFT(H33,1),".",B33))</f>
        <v/>
      </c>
      <c r="K33" s="8"/>
      <c r="L33" s="97"/>
      <c r="M33" s="97"/>
      <c r="N33" s="97"/>
      <c r="O33" s="97"/>
      <c r="P33" s="97"/>
    </row>
    <row r="34">
      <c r="A34" s="91" t="e">
        <f t="shared" si="2"/>
        <v>#VALUE!</v>
      </c>
      <c r="B34" s="91" t="e">
        <f>IF(AND(A34=26,'План инф-ции (титул)'!$N$6&lt;&gt;""),"026П","026")</f>
        <v>#VALUE!</v>
      </c>
      <c r="D34" s="97"/>
      <c r="F34" s="92"/>
      <c r="G34" s="92"/>
      <c r="I34" s="97" t="str">
        <f t="shared" si="1"/>
        <v xml:space="preserve"> </v>
      </c>
      <c r="J34" s="91" t="str">
        <f>IF(OR(H34="",I34="",D34="",F34="",G34=""),"",CONCATENATE('План инф-ции (титул)'!$P$6,".",LEFT(H34,1),".",B34))</f>
        <v/>
      </c>
      <c r="K34" s="8"/>
      <c r="L34" s="97"/>
      <c r="M34" s="97"/>
      <c r="N34" s="97"/>
      <c r="O34" s="97"/>
      <c r="P34" s="97"/>
    </row>
    <row r="35">
      <c r="A35" s="91" t="e">
        <f t="shared" si="2"/>
        <v>#VALUE!</v>
      </c>
      <c r="B35" s="91" t="e">
        <f>IF(AND(A35=27,'План инф-ции (титул)'!$N$6&lt;&gt;""),"027П","027")</f>
        <v>#VALUE!</v>
      </c>
      <c r="D35" s="97"/>
      <c r="F35" s="92"/>
      <c r="G35" s="92"/>
      <c r="I35" s="97" t="str">
        <f t="shared" si="1"/>
        <v xml:space="preserve"> </v>
      </c>
      <c r="J35" s="91" t="str">
        <f>IF(OR(H35="",I35="",D35="",F35="",G35=""),"",CONCATENATE('План инф-ции (титул)'!$P$6,".",LEFT(H35,1),".",B35))</f>
        <v/>
      </c>
      <c r="K35" s="8"/>
      <c r="L35" s="97"/>
      <c r="M35" s="97"/>
      <c r="N35" s="97"/>
      <c r="O35" s="97"/>
      <c r="P35" s="97"/>
    </row>
    <row r="36">
      <c r="A36" s="91" t="e">
        <f t="shared" si="2"/>
        <v>#VALUE!</v>
      </c>
      <c r="B36" s="91" t="e">
        <f>IF(AND(A36=28,'План инф-ции (титул)'!$N$6&lt;&gt;""),"028П","028")</f>
        <v>#VALUE!</v>
      </c>
      <c r="D36" s="97"/>
      <c r="F36" s="92"/>
      <c r="G36" s="92"/>
      <c r="I36" s="97" t="str">
        <f t="shared" si="1"/>
        <v xml:space="preserve"> </v>
      </c>
      <c r="J36" s="91" t="str">
        <f>IF(OR(H36="",I36="",D36="",F36="",G36=""),"",CONCATENATE('План инф-ции (титул)'!$P$6,".",LEFT(H36,1),".",B36))</f>
        <v/>
      </c>
      <c r="K36" s="8"/>
      <c r="L36" s="97"/>
      <c r="M36" s="97"/>
      <c r="N36" s="97"/>
      <c r="O36" s="97"/>
      <c r="P36" s="97"/>
    </row>
    <row r="37">
      <c r="A37" s="91" t="e">
        <f t="shared" si="2"/>
        <v>#VALUE!</v>
      </c>
      <c r="B37" s="91" t="e">
        <f>IF(AND(A37=29,'План инф-ции (титул)'!$N$6&lt;&gt;""),"029П","029")</f>
        <v>#VALUE!</v>
      </c>
      <c r="D37" s="97"/>
      <c r="F37" s="92"/>
      <c r="G37" s="92"/>
      <c r="I37" s="97" t="str">
        <f t="shared" si="1"/>
        <v xml:space="preserve"> </v>
      </c>
      <c r="J37" s="91" t="str">
        <f>IF(OR(H37="",I37="",D37="",F37="",G37=""),"",CONCATENATE('План инф-ции (титул)'!$P$6,".",LEFT(H37,1),".",B37))</f>
        <v/>
      </c>
      <c r="K37" s="8"/>
      <c r="L37" s="97"/>
      <c r="M37" s="97"/>
      <c r="N37" s="97"/>
      <c r="O37" s="97"/>
      <c r="P37" s="97"/>
    </row>
    <row r="38">
      <c r="A38" s="91" t="e">
        <f t="shared" si="2"/>
        <v>#VALUE!</v>
      </c>
      <c r="B38" s="91" t="e">
        <f>IF(AND(A38=30,'План инф-ции (титул)'!$N$6&lt;&gt;""),"030П","030")</f>
        <v>#VALUE!</v>
      </c>
      <c r="D38" s="97"/>
      <c r="F38" s="92"/>
      <c r="G38" s="92"/>
      <c r="I38" s="97" t="str">
        <f t="shared" si="1"/>
        <v xml:space="preserve"> </v>
      </c>
      <c r="J38" s="91" t="str">
        <f>IF(OR(H38="",I38="",D38="",F38="",G38=""),"",CONCATENATE('План инф-ции (титул)'!$P$6,".",LEFT(H38,1),".",B38))</f>
        <v/>
      </c>
      <c r="K38" s="8"/>
      <c r="L38" s="97"/>
      <c r="M38" s="97"/>
      <c r="N38" s="97"/>
      <c r="O38" s="97"/>
      <c r="P38" s="97"/>
    </row>
    <row r="39">
      <c r="A39" s="91" t="e">
        <f t="shared" si="2"/>
        <v>#VALUE!</v>
      </c>
      <c r="B39" s="91" t="e">
        <f>IF(AND(A39=31,'План инф-ции (титул)'!$N$6&lt;&gt;""),"031П","031")</f>
        <v>#VALUE!</v>
      </c>
      <c r="D39" s="97"/>
      <c r="F39" s="92"/>
      <c r="G39" s="92"/>
      <c r="I39" s="97" t="str">
        <f t="shared" si="1"/>
        <v xml:space="preserve"> </v>
      </c>
      <c r="J39" s="91" t="str">
        <f>IF(OR(H39="",I39="",D39="",F39="",G39=""),"",CONCATENATE('План инф-ции (титул)'!$P$6,".",LEFT(H39,1),".",B39))</f>
        <v/>
      </c>
      <c r="K39" s="8"/>
      <c r="L39" s="97"/>
      <c r="M39" s="97"/>
      <c r="N39" s="97"/>
      <c r="O39" s="97"/>
      <c r="P39" s="97"/>
    </row>
    <row r="40">
      <c r="A40" s="91" t="e">
        <f t="shared" si="2"/>
        <v>#VALUE!</v>
      </c>
      <c r="B40" s="91" t="e">
        <f>IF(AND(A40=32,'План инф-ции (титул)'!$N$6&lt;&gt;""),"032П","032")</f>
        <v>#VALUE!</v>
      </c>
      <c r="D40" s="97"/>
      <c r="F40" s="92"/>
      <c r="G40" s="92"/>
      <c r="I40" s="97" t="str">
        <f t="shared" si="1"/>
        <v xml:space="preserve"> </v>
      </c>
      <c r="J40" s="91" t="str">
        <f>IF(OR(H40="",I40="",D40="",F40="",G40=""),"",CONCATENATE('План инф-ции (титул)'!$P$6,".",LEFT(H40,1),".",B40))</f>
        <v/>
      </c>
      <c r="K40" s="8"/>
      <c r="L40" s="97"/>
      <c r="M40" s="97"/>
      <c r="N40" s="97"/>
      <c r="O40" s="97"/>
      <c r="P40" s="97"/>
    </row>
    <row r="41">
      <c r="A41" s="91" t="e">
        <f t="shared" si="2"/>
        <v>#VALUE!</v>
      </c>
      <c r="B41" s="91" t="e">
        <f>IF(AND(A41=33,'План инф-ции (титул)'!$N$6&lt;&gt;""),"033П","033")</f>
        <v>#VALUE!</v>
      </c>
      <c r="D41" s="97"/>
      <c r="F41" s="92"/>
      <c r="G41" s="92"/>
      <c r="I41" s="97" t="str">
        <f t="shared" si="1"/>
        <v xml:space="preserve"> </v>
      </c>
      <c r="J41" s="91" t="str">
        <f>IF(OR(H41="",I41="",D41="",F41="",G41=""),"",CONCATENATE('План инф-ции (титул)'!$P$6,".",LEFT(H41,1),".",B41))</f>
        <v/>
      </c>
      <c r="K41" s="8"/>
      <c r="L41" s="97"/>
      <c r="M41" s="97"/>
      <c r="N41" s="97"/>
      <c r="O41" s="97"/>
      <c r="P41" s="97"/>
    </row>
    <row r="42">
      <c r="A42" s="91" t="e">
        <f t="shared" si="2"/>
        <v>#VALUE!</v>
      </c>
      <c r="B42" s="91" t="e">
        <f>IF(AND(A42=34,'План инф-ции (титул)'!$N$6&lt;&gt;""),"034П","034")</f>
        <v>#VALUE!</v>
      </c>
      <c r="D42" s="97"/>
      <c r="F42" s="92"/>
      <c r="G42" s="92"/>
      <c r="I42" s="97" t="str">
        <f t="shared" si="1"/>
        <v xml:space="preserve"> </v>
      </c>
      <c r="J42" s="91" t="str">
        <f>IF(OR(H42="",I42="",D42="",F42="",G42=""),"",CONCATENATE('План инф-ции (титул)'!$P$6,".",LEFT(H42,1),".",B42))</f>
        <v/>
      </c>
      <c r="K42" s="8"/>
      <c r="L42" s="97"/>
      <c r="M42" s="97"/>
      <c r="N42" s="97"/>
      <c r="O42" s="97"/>
      <c r="P42" s="97"/>
    </row>
    <row r="43">
      <c r="A43" s="91" t="e">
        <f t="shared" si="2"/>
        <v>#VALUE!</v>
      </c>
      <c r="B43" s="91" t="e">
        <f>IF(AND(A43=35,'План инф-ции (титул)'!$N$6&lt;&gt;""),"035П","035")</f>
        <v>#VALUE!</v>
      </c>
      <c r="D43" s="97"/>
      <c r="F43" s="92"/>
      <c r="G43" s="92"/>
      <c r="I43" s="97" t="str">
        <f t="shared" si="1"/>
        <v xml:space="preserve"> </v>
      </c>
      <c r="J43" s="91" t="str">
        <f>IF(OR(H43="",I43="",D43="",F43="",G43=""),"",CONCATENATE('План инф-ции (титул)'!$P$6,".",LEFT(H43,1),".",B43))</f>
        <v/>
      </c>
      <c r="K43" s="8"/>
      <c r="L43" s="97"/>
      <c r="M43" s="97"/>
      <c r="N43" s="97"/>
      <c r="O43" s="97"/>
      <c r="P43" s="97"/>
    </row>
    <row r="44">
      <c r="A44" s="91" t="e">
        <f t="shared" si="2"/>
        <v>#VALUE!</v>
      </c>
      <c r="B44" s="91" t="e">
        <f>IF(AND(A44=36,'План инф-ции (титул)'!$N$6&lt;&gt;""),"036П","036")</f>
        <v>#VALUE!</v>
      </c>
      <c r="D44" s="97"/>
      <c r="F44" s="92"/>
      <c r="G44" s="92"/>
      <c r="I44" s="97" t="str">
        <f t="shared" si="1"/>
        <v xml:space="preserve"> </v>
      </c>
      <c r="J44" s="91" t="str">
        <f>IF(OR(H44="",I44="",D44="",F44="",G44=""),"",CONCATENATE('План инф-ции (титул)'!$P$6,".",LEFT(H44,1),".",B44))</f>
        <v/>
      </c>
      <c r="K44" s="8"/>
      <c r="L44" s="97"/>
      <c r="M44" s="97"/>
      <c r="N44" s="97"/>
      <c r="O44" s="97"/>
      <c r="P44" s="97"/>
    </row>
    <row r="45">
      <c r="A45" s="91" t="e">
        <f t="shared" si="2"/>
        <v>#VALUE!</v>
      </c>
      <c r="B45" s="91" t="e">
        <f>IF(AND(A45=37,'План инф-ции (титул)'!$N$6&lt;&gt;""),"038П","038")</f>
        <v>#VALUE!</v>
      </c>
      <c r="D45" s="97"/>
      <c r="F45" s="92"/>
      <c r="G45" s="92"/>
      <c r="I45" s="97" t="str">
        <f t="shared" si="1"/>
        <v xml:space="preserve"> </v>
      </c>
      <c r="J45" s="91" t="str">
        <f>IF(OR(H45="",I45="",D45="",F45="",G45=""),"",CONCATENATE('План инф-ции (титул)'!$P$6,".",LEFT(H45,1),".",B45))</f>
        <v/>
      </c>
      <c r="K45" s="8"/>
      <c r="L45" s="97"/>
      <c r="M45" s="97"/>
      <c r="N45" s="97"/>
      <c r="O45" s="97"/>
      <c r="P45" s="97"/>
    </row>
    <row r="46">
      <c r="A46" s="91" t="e">
        <f t="shared" si="2"/>
        <v>#VALUE!</v>
      </c>
      <c r="B46" s="91" t="e">
        <f>IF(AND(A46=38,'План инф-ции (титул)'!$N$6&lt;&gt;""),"038П","038")</f>
        <v>#VALUE!</v>
      </c>
      <c r="D46" s="97"/>
      <c r="F46" s="92"/>
      <c r="G46" s="92"/>
      <c r="I46" s="97" t="str">
        <f t="shared" si="1"/>
        <v xml:space="preserve"> </v>
      </c>
      <c r="J46" s="91" t="str">
        <f>IF(OR(H46="",I46="",D46="",F46="",G46=""),"",CONCATENATE('План инф-ции (титул)'!$P$6,".",LEFT(H46,1),".",B46))</f>
        <v/>
      </c>
      <c r="K46" s="8"/>
      <c r="L46" s="97"/>
      <c r="M46" s="97"/>
      <c r="N46" s="97"/>
      <c r="O46" s="97"/>
      <c r="P46" s="97"/>
    </row>
    <row r="47">
      <c r="A47" s="91" t="e">
        <f t="shared" si="2"/>
        <v>#VALUE!</v>
      </c>
      <c r="B47" s="91" t="e">
        <f>IF(AND(A47=39,'План инф-ции (титул)'!$N$6&lt;&gt;""),"039П","039")</f>
        <v>#VALUE!</v>
      </c>
      <c r="D47" s="97"/>
      <c r="F47" s="92"/>
      <c r="G47" s="92"/>
      <c r="I47" s="97" t="str">
        <f t="shared" si="1"/>
        <v xml:space="preserve"> </v>
      </c>
      <c r="J47" s="91" t="str">
        <f>IF(OR(H47="",I47="",D47="",F47="",G47=""),"",CONCATENATE('План инф-ции (титул)'!$P$6,".",LEFT(H47,1),".",B47))</f>
        <v/>
      </c>
      <c r="K47" s="8"/>
      <c r="L47" s="97"/>
      <c r="M47" s="97"/>
      <c r="N47" s="97"/>
      <c r="O47" s="97"/>
      <c r="P47" s="97"/>
    </row>
    <row r="48">
      <c r="A48" s="91" t="e">
        <f t="shared" si="2"/>
        <v>#VALUE!</v>
      </c>
      <c r="B48" s="91" t="e">
        <f>IF(AND(A48=40,'План инф-ции (титул)'!$N$6&lt;&gt;""),"040П","040")</f>
        <v>#VALUE!</v>
      </c>
      <c r="D48" s="97"/>
      <c r="F48" s="92"/>
      <c r="G48" s="92"/>
      <c r="I48" s="97" t="str">
        <f t="shared" si="1"/>
        <v xml:space="preserve"> </v>
      </c>
      <c r="J48" s="91" t="str">
        <f>IF(OR(H48="",I48="",D48="",F48="",G48=""),"",CONCATENATE('План инф-ции (титул)'!$P$6,".",LEFT(H48,1),".",B48))</f>
        <v/>
      </c>
      <c r="K48" s="8"/>
      <c r="L48" s="97"/>
      <c r="M48" s="97"/>
      <c r="N48" s="97"/>
      <c r="O48" s="97"/>
      <c r="P48" s="97"/>
    </row>
    <row r="49">
      <c r="A49" s="91" t="e">
        <f t="shared" si="2"/>
        <v>#VALUE!</v>
      </c>
      <c r="B49" s="91" t="e">
        <f>IF(AND(A49=41,'План инф-ции (титул)'!$N$6&lt;&gt;""),"041П","041")</f>
        <v>#VALUE!</v>
      </c>
      <c r="D49" s="97"/>
      <c r="F49" s="92"/>
      <c r="G49" s="92"/>
      <c r="I49" s="97" t="str">
        <f t="shared" si="1"/>
        <v xml:space="preserve"> </v>
      </c>
      <c r="J49" s="91" t="str">
        <f>IF(OR(H49="",I49="",D49="",F49="",G49=""),"",CONCATENATE('План инф-ции (титул)'!$P$6,".",LEFT(H49,1),".",B49))</f>
        <v/>
      </c>
      <c r="K49" s="8"/>
      <c r="L49" s="97"/>
      <c r="M49" s="97"/>
      <c r="N49" s="97"/>
      <c r="O49" s="97"/>
      <c r="P49" s="97"/>
    </row>
    <row r="50">
      <c r="A50" s="91" t="e">
        <f t="shared" si="2"/>
        <v>#VALUE!</v>
      </c>
      <c r="B50" s="91" t="e">
        <f>IF(AND(A50=42,'План инф-ции (титул)'!$N$6&lt;&gt;""),"042П","042")</f>
        <v>#VALUE!</v>
      </c>
      <c r="D50" s="97"/>
      <c r="F50" s="92"/>
      <c r="G50" s="92"/>
      <c r="I50" s="97" t="str">
        <f t="shared" si="1"/>
        <v xml:space="preserve"> </v>
      </c>
      <c r="J50" s="91" t="str">
        <f>IF(OR(H50="",I50="",D50="",F50="",G50=""),"",CONCATENATE('План инф-ции (титул)'!$P$6,".",LEFT(H50,1),".",B50))</f>
        <v/>
      </c>
      <c r="K50" s="8"/>
      <c r="L50" s="97"/>
      <c r="M50" s="97"/>
      <c r="N50" s="97"/>
      <c r="O50" s="97"/>
      <c r="P50" s="97"/>
    </row>
    <row r="51">
      <c r="A51" s="91" t="e">
        <f t="shared" si="2"/>
        <v>#VALUE!</v>
      </c>
      <c r="B51" s="91" t="e">
        <f>IF(AND(A51=43,'План инф-ции (титул)'!$N$6&lt;&gt;""),"043П","043")</f>
        <v>#VALUE!</v>
      </c>
      <c r="D51" s="97"/>
      <c r="F51" s="92"/>
      <c r="G51" s="92"/>
      <c r="I51" s="97" t="str">
        <f t="shared" si="1"/>
        <v xml:space="preserve"> </v>
      </c>
      <c r="J51" s="91" t="str">
        <f>IF(OR(H51="",I51="",D51="",F51="",G51=""),"",CONCATENATE('План инф-ции (титул)'!$P$6,".",LEFT(H51,1),".",B51))</f>
        <v/>
      </c>
      <c r="K51" s="8"/>
      <c r="L51" s="97"/>
      <c r="M51" s="97"/>
      <c r="N51" s="97"/>
      <c r="O51" s="97"/>
      <c r="P51" s="97"/>
    </row>
    <row r="52">
      <c r="A52" s="91" t="e">
        <f t="shared" si="2"/>
        <v>#VALUE!</v>
      </c>
      <c r="B52" s="91" t="e">
        <f>IF(AND(A52=44,'План инф-ции (титул)'!$N$6&lt;&gt;""),"044П","044")</f>
        <v>#VALUE!</v>
      </c>
      <c r="D52" s="97"/>
      <c r="F52" s="92"/>
      <c r="G52" s="92"/>
      <c r="I52" s="97" t="str">
        <f t="shared" si="1"/>
        <v xml:space="preserve"> </v>
      </c>
      <c r="J52" s="91" t="str">
        <f>IF(OR(H52="",I52="",D52="",F52="",G52=""),"",CONCATENATE('План инф-ции (титул)'!$P$6,".",LEFT(H52,1),".",B52))</f>
        <v/>
      </c>
      <c r="K52" s="8"/>
      <c r="L52" s="97"/>
      <c r="M52" s="97"/>
      <c r="N52" s="97"/>
      <c r="O52" s="97"/>
      <c r="P52" s="97"/>
    </row>
    <row r="53">
      <c r="A53" s="91" t="e">
        <f t="shared" si="2"/>
        <v>#VALUE!</v>
      </c>
      <c r="B53" s="91" t="e">
        <f>IF(AND(A53=45,'План инф-ции (титул)'!$N$6&lt;&gt;""),"045П","045")</f>
        <v>#VALUE!</v>
      </c>
      <c r="D53" s="97"/>
      <c r="F53" s="92"/>
      <c r="G53" s="92"/>
      <c r="I53" s="97" t="str">
        <f t="shared" si="1"/>
        <v xml:space="preserve"> </v>
      </c>
      <c r="J53" s="91" t="str">
        <f>IF(OR(H53="",I53="",D53="",F53="",G53=""),"",CONCATENATE('План инф-ции (титул)'!$P$6,".",LEFT(H53,1),".",B53))</f>
        <v/>
      </c>
      <c r="K53" s="8"/>
      <c r="L53" s="97"/>
      <c r="M53" s="97"/>
      <c r="N53" s="97"/>
      <c r="O53" s="97"/>
      <c r="P53" s="97"/>
    </row>
    <row r="54">
      <c r="A54" s="91" t="e">
        <f t="shared" si="2"/>
        <v>#VALUE!</v>
      </c>
      <c r="B54" s="91" t="e">
        <f>IF(AND(A54=46,'План инф-ции (титул)'!$N$6&lt;&gt;""),"046П","046")</f>
        <v>#VALUE!</v>
      </c>
      <c r="D54" s="97"/>
      <c r="F54" s="92"/>
      <c r="G54" s="92"/>
      <c r="I54" s="97" t="str">
        <f t="shared" si="1"/>
        <v xml:space="preserve"> </v>
      </c>
      <c r="J54" s="91" t="str">
        <f>IF(OR(H54="",I54="",D54="",F54="",G54=""),"",CONCATENATE('План инф-ции (титул)'!$P$6,".",LEFT(H54,1),".",B54))</f>
        <v/>
      </c>
      <c r="K54" s="8"/>
      <c r="L54" s="97"/>
      <c r="M54" s="97"/>
      <c r="N54" s="97"/>
      <c r="O54" s="97"/>
      <c r="P54" s="97"/>
    </row>
    <row r="55">
      <c r="A55" s="91" t="e">
        <f t="shared" si="2"/>
        <v>#VALUE!</v>
      </c>
      <c r="B55" s="91" t="e">
        <f>IF(AND(A55=47,'План инф-ции (титул)'!$N$6&lt;&gt;""),"047П","047")</f>
        <v>#VALUE!</v>
      </c>
      <c r="D55" s="97"/>
      <c r="F55" s="92"/>
      <c r="G55" s="92"/>
      <c r="I55" s="97" t="str">
        <f t="shared" si="1"/>
        <v xml:space="preserve"> </v>
      </c>
      <c r="J55" s="91" t="str">
        <f>IF(OR(H55="",I55="",D55="",F55="",G55=""),"",CONCATENATE('План инф-ции (титул)'!$P$6,".",LEFT(H55,1),".",B55))</f>
        <v/>
      </c>
      <c r="K55" s="8"/>
      <c r="L55" s="97"/>
      <c r="M55" s="97"/>
      <c r="N55" s="97"/>
      <c r="O55" s="97"/>
      <c r="P55" s="97"/>
    </row>
    <row r="56">
      <c r="A56" s="91" t="e">
        <f t="shared" si="2"/>
        <v>#VALUE!</v>
      </c>
      <c r="B56" s="91" t="e">
        <f>IF(AND(A56=48,'План инф-ции (титул)'!$N$6&lt;&gt;""),"048П","048")</f>
        <v>#VALUE!</v>
      </c>
      <c r="D56" s="97"/>
      <c r="F56" s="92"/>
      <c r="G56" s="92"/>
      <c r="I56" s="97" t="str">
        <f t="shared" si="1"/>
        <v xml:space="preserve"> </v>
      </c>
      <c r="J56" s="91" t="str">
        <f>IF(OR(H56="",I56="",D56="",F56="",G56=""),"",CONCATENATE('План инф-ции (титул)'!$P$6,".",LEFT(H56,1),".",B56))</f>
        <v/>
      </c>
      <c r="K56" s="8"/>
      <c r="L56" s="97"/>
      <c r="M56" s="97"/>
      <c r="N56" s="97"/>
      <c r="O56" s="97"/>
      <c r="P56" s="97"/>
    </row>
    <row r="57">
      <c r="A57" s="91" t="e">
        <f t="shared" si="2"/>
        <v>#VALUE!</v>
      </c>
      <c r="B57" s="91" t="e">
        <f>IF(AND(A57=49,'План инф-ции (титул)'!$N$6&lt;&gt;""),"049П","049")</f>
        <v>#VALUE!</v>
      </c>
      <c r="D57" s="97"/>
      <c r="F57" s="92"/>
      <c r="G57" s="92"/>
      <c r="I57" s="97" t="str">
        <f t="shared" si="1"/>
        <v xml:space="preserve"> </v>
      </c>
      <c r="J57" s="91" t="str">
        <f>IF(OR(H57="",I57="",D57="",F57="",G57=""),"",CONCATENATE('План инф-ции (титул)'!$P$6,".",LEFT(H57,1),".",B57))</f>
        <v/>
      </c>
      <c r="K57" s="8"/>
      <c r="L57" s="97"/>
      <c r="M57" s="97"/>
      <c r="N57" s="97"/>
      <c r="O57" s="97"/>
      <c r="P57" s="97"/>
    </row>
    <row r="58">
      <c r="A58" s="91" t="e">
        <f t="shared" si="2"/>
        <v>#VALUE!</v>
      </c>
      <c r="B58" s="91" t="e">
        <f>IF(AND(A58=50,'План инф-ции (титул)'!$N$6&lt;&gt;""),"050П","050")</f>
        <v>#VALUE!</v>
      </c>
      <c r="D58" s="97"/>
      <c r="F58" s="92"/>
      <c r="G58" s="92"/>
      <c r="I58" s="97" t="str">
        <f t="shared" si="1"/>
        <v xml:space="preserve"> </v>
      </c>
      <c r="J58" s="91" t="str">
        <f>IF(OR(H58="",I58="",D58="",F58="",G58=""),"",CONCATENATE('План инф-ции (титул)'!$P$6,".",LEFT(H58,1),".",B58))</f>
        <v/>
      </c>
      <c r="K58" s="8"/>
      <c r="L58" s="97"/>
      <c r="M58" s="97"/>
      <c r="N58" s="97"/>
      <c r="O58" s="97"/>
      <c r="P58" s="97"/>
    </row>
    <row r="59">
      <c r="A59" s="91" t="e">
        <f t="shared" si="2"/>
        <v>#VALUE!</v>
      </c>
      <c r="B59" s="91" t="e">
        <f>IF(AND(A59=51,'План инф-ции (титул)'!$N$6&lt;&gt;""),"051П","051")</f>
        <v>#VALUE!</v>
      </c>
      <c r="D59" s="97"/>
      <c r="F59" s="92"/>
      <c r="G59" s="92"/>
      <c r="I59" s="97" t="str">
        <f t="shared" si="1"/>
        <v xml:space="preserve"> </v>
      </c>
      <c r="J59" s="91" t="str">
        <f>IF(OR(H59="",I59="",D59="",F59="",G59=""),"",CONCATENATE('План инф-ции (титул)'!$P$6,".",LEFT(H59,1),".",B59))</f>
        <v/>
      </c>
      <c r="K59" s="8"/>
      <c r="L59" s="97"/>
      <c r="M59" s="97"/>
      <c r="N59" s="97"/>
      <c r="O59" s="97"/>
      <c r="P59" s="97"/>
    </row>
    <row r="60">
      <c r="A60" s="91" t="e">
        <f t="shared" si="2"/>
        <v>#VALUE!</v>
      </c>
      <c r="B60" s="91" t="e">
        <f>IF(AND(A60=52,'План инф-ции (титул)'!$N$6&lt;&gt;""),"052П","052")</f>
        <v>#VALUE!</v>
      </c>
      <c r="D60" s="97"/>
      <c r="F60" s="92"/>
      <c r="G60" s="92"/>
      <c r="I60" s="97" t="str">
        <f t="shared" si="1"/>
        <v xml:space="preserve"> </v>
      </c>
      <c r="J60" s="91" t="str">
        <f>IF(OR(H60="",I60="",D60="",F60="",G60=""),"",CONCATENATE('План инф-ции (титул)'!$P$6,".",LEFT(H60,1),".",B60))</f>
        <v/>
      </c>
      <c r="K60" s="8"/>
      <c r="L60" s="97"/>
      <c r="M60" s="97"/>
      <c r="N60" s="97"/>
      <c r="O60" s="97"/>
      <c r="P60" s="97"/>
    </row>
    <row r="61">
      <c r="A61" s="91" t="e">
        <f t="shared" si="2"/>
        <v>#VALUE!</v>
      </c>
      <c r="B61" s="91" t="e">
        <f>IF(AND(A61=53,'План инф-ции (титул)'!$N$6&lt;&gt;""),"053П","053")</f>
        <v>#VALUE!</v>
      </c>
      <c r="D61" s="97"/>
      <c r="F61" s="92"/>
      <c r="G61" s="92"/>
      <c r="I61" s="97" t="str">
        <f t="shared" si="1"/>
        <v xml:space="preserve"> </v>
      </c>
      <c r="J61" s="91" t="str">
        <f>IF(OR(H61="",I61="",D61="",F61="",G61=""),"",CONCATENATE('План инф-ции (титул)'!$P$6,".",LEFT(H61,1),".",B61))</f>
        <v/>
      </c>
      <c r="K61" s="8"/>
      <c r="L61" s="97"/>
      <c r="M61" s="97"/>
      <c r="N61" s="97"/>
      <c r="O61" s="97"/>
      <c r="P61" s="97"/>
    </row>
    <row r="62">
      <c r="A62" s="91" t="e">
        <f t="shared" si="2"/>
        <v>#VALUE!</v>
      </c>
      <c r="B62" s="91" t="e">
        <f>IF(AND(A62=54,'План инф-ции (титул)'!$N$6&lt;&gt;""),"054П","054")</f>
        <v>#VALUE!</v>
      </c>
      <c r="D62" s="97"/>
      <c r="F62" s="92"/>
      <c r="G62" s="92"/>
      <c r="I62" s="97" t="str">
        <f t="shared" si="1"/>
        <v xml:space="preserve"> </v>
      </c>
      <c r="J62" s="91" t="str">
        <f>IF(OR(H62="",I62="",D62="",F62="",G62=""),"",CONCATENATE('План инф-ции (титул)'!$P$6,".",LEFT(H62,1),".",B62))</f>
        <v/>
      </c>
      <c r="K62" s="8"/>
      <c r="L62" s="97"/>
      <c r="M62" s="97"/>
      <c r="N62" s="97"/>
      <c r="O62" s="97"/>
      <c r="P62" s="97"/>
    </row>
    <row r="63">
      <c r="A63" s="91" t="e">
        <f t="shared" si="2"/>
        <v>#VALUE!</v>
      </c>
      <c r="B63" s="91" t="e">
        <f>IF(AND(A63=55,'План инф-ции (титул)'!$N$6&lt;&gt;""),"055П","055")</f>
        <v>#VALUE!</v>
      </c>
      <c r="D63" s="97"/>
      <c r="F63" s="92"/>
      <c r="G63" s="92"/>
      <c r="I63" s="97" t="str">
        <f t="shared" si="1"/>
        <v xml:space="preserve"> </v>
      </c>
      <c r="J63" s="91" t="str">
        <f>IF(OR(H63="",I63="",D63="",F63="",G63=""),"",CONCATENATE('План инф-ции (титул)'!$P$6,".",LEFT(H63,1),".",B63))</f>
        <v/>
      </c>
      <c r="K63" s="8"/>
      <c r="L63" s="97"/>
      <c r="M63" s="97"/>
      <c r="N63" s="97"/>
      <c r="O63" s="97"/>
      <c r="P63" s="97"/>
    </row>
    <row r="64">
      <c r="A64" s="91" t="e">
        <f t="shared" si="2"/>
        <v>#VALUE!</v>
      </c>
      <c r="B64" s="91" t="e">
        <f>IF(AND(A64=56,'План инф-ции (титул)'!$N$6&lt;&gt;""),"056П","056")</f>
        <v>#VALUE!</v>
      </c>
      <c r="D64" s="97"/>
      <c r="F64" s="92"/>
      <c r="G64" s="92"/>
      <c r="I64" s="97" t="str">
        <f t="shared" si="1"/>
        <v xml:space="preserve"> </v>
      </c>
      <c r="J64" s="91" t="str">
        <f>IF(OR(H64="",I64="",D64="",F64="",G64=""),"",CONCATENATE('План инф-ции (титул)'!$P$6,".",LEFT(H64,1),".",B64))</f>
        <v/>
      </c>
      <c r="K64" s="8"/>
      <c r="L64" s="97"/>
      <c r="M64" s="97"/>
      <c r="N64" s="97"/>
      <c r="O64" s="97"/>
      <c r="P64" s="97"/>
    </row>
    <row r="65">
      <c r="A65" s="91" t="e">
        <f t="shared" si="2"/>
        <v>#VALUE!</v>
      </c>
      <c r="B65" s="91" t="e">
        <f>IF(AND(A65=57,'План инф-ции (титул)'!$N$6&lt;&gt;""),"057П","057")</f>
        <v>#VALUE!</v>
      </c>
      <c r="D65" s="97"/>
      <c r="F65" s="92"/>
      <c r="G65" s="92"/>
      <c r="I65" s="97" t="str">
        <f t="shared" si="1"/>
        <v xml:space="preserve"> </v>
      </c>
      <c r="J65" s="91" t="str">
        <f>IF(OR(H65="",I65="",D65="",F65="",G65=""),"",CONCATENATE('План инф-ции (титул)'!$P$6,".",LEFT(H65,1),".",B65))</f>
        <v/>
      </c>
      <c r="K65" s="8"/>
      <c r="L65" s="97"/>
      <c r="M65" s="97"/>
      <c r="N65" s="97"/>
      <c r="O65" s="97"/>
      <c r="P65" s="97"/>
    </row>
    <row r="66">
      <c r="A66" s="91" t="e">
        <f t="shared" si="2"/>
        <v>#VALUE!</v>
      </c>
      <c r="B66" s="91" t="e">
        <f>IF(AND(A66=58,'План инф-ции (титул)'!$N$6&lt;&gt;""),"058П","058")</f>
        <v>#VALUE!</v>
      </c>
      <c r="D66" s="97"/>
      <c r="F66" s="92"/>
      <c r="G66" s="92"/>
      <c r="I66" s="97" t="str">
        <f t="shared" si="1"/>
        <v xml:space="preserve"> </v>
      </c>
      <c r="J66" s="91" t="str">
        <f>IF(OR(H66="",I66="",D66="",F66="",G66=""),"",CONCATENATE('План инф-ции (титул)'!$P$6,".",LEFT(H66,1),".",B66))</f>
        <v/>
      </c>
      <c r="K66" s="8"/>
      <c r="L66" s="97"/>
      <c r="M66" s="97"/>
      <c r="N66" s="97"/>
      <c r="O66" s="97"/>
      <c r="P66" s="97"/>
    </row>
    <row r="67">
      <c r="A67" s="91" t="e">
        <f t="shared" si="2"/>
        <v>#VALUE!</v>
      </c>
      <c r="B67" s="91" t="e">
        <f>IF(AND(A67=59,'План инф-ции (титул)'!$N$6&lt;&gt;""),"059П","059")</f>
        <v>#VALUE!</v>
      </c>
      <c r="D67" s="97"/>
      <c r="F67" s="92"/>
      <c r="G67" s="92"/>
      <c r="I67" s="97" t="str">
        <f t="shared" si="1"/>
        <v xml:space="preserve"> </v>
      </c>
      <c r="J67" s="91" t="str">
        <f>IF(OR(H67="",I67="",D67="",F67="",G67=""),"",CONCATENATE('План инф-ции (титул)'!$P$6,".",LEFT(H67,1),".",B67))</f>
        <v/>
      </c>
      <c r="K67" s="8"/>
      <c r="L67" s="97"/>
      <c r="M67" s="97"/>
      <c r="N67" s="97"/>
      <c r="O67" s="97"/>
      <c r="P67" s="97"/>
    </row>
    <row r="68">
      <c r="A68" s="91" t="e">
        <f t="shared" si="2"/>
        <v>#VALUE!</v>
      </c>
      <c r="B68" s="91" t="e">
        <f>IF(AND(A68=60,'План инф-ции (титул)'!$N$6&lt;&gt;""),"060П","060")</f>
        <v>#VALUE!</v>
      </c>
      <c r="D68" s="97"/>
      <c r="F68" s="92"/>
      <c r="G68" s="92"/>
      <c r="I68" s="97" t="str">
        <f t="shared" si="1"/>
        <v xml:space="preserve"> </v>
      </c>
      <c r="J68" s="91" t="str">
        <f>IF(OR(H68="",I68="",D68="",F68="",G68=""),"",CONCATENATE('План инф-ции (титул)'!$P$6,".",LEFT(H68,1),".",B68))</f>
        <v/>
      </c>
      <c r="K68" s="8"/>
      <c r="L68" s="97"/>
      <c r="M68" s="97"/>
      <c r="N68" s="97"/>
      <c r="O68" s="97"/>
      <c r="P68" s="97"/>
    </row>
    <row r="69">
      <c r="A69" s="91" t="e">
        <f t="shared" si="2"/>
        <v>#VALUE!</v>
      </c>
      <c r="B69" s="91" t="e">
        <f>IF(AND(A69=61,'План инф-ции (титул)'!$N$6&lt;&gt;""),"061П","061")</f>
        <v>#VALUE!</v>
      </c>
      <c r="D69" s="97"/>
      <c r="F69" s="92"/>
      <c r="G69" s="92"/>
      <c r="I69" s="97" t="str">
        <f t="shared" si="1"/>
        <v xml:space="preserve"> </v>
      </c>
      <c r="J69" s="91" t="str">
        <f>IF(OR(H69="",I69="",D69="",F69="",G69=""),"",CONCATENATE('План инф-ции (титул)'!$P$6,".",LEFT(H69,1),".",B69))</f>
        <v/>
      </c>
      <c r="K69" s="8"/>
      <c r="L69" s="97"/>
      <c r="M69" s="97"/>
      <c r="N69" s="97"/>
      <c r="O69" s="97"/>
      <c r="P69" s="97"/>
    </row>
    <row r="70">
      <c r="A70" s="91" t="e">
        <f t="shared" si="2"/>
        <v>#VALUE!</v>
      </c>
      <c r="B70" s="91" t="e">
        <f>IF(AND(A70=62,'План инф-ции (титул)'!$N$6&lt;&gt;""),"062П","062")</f>
        <v>#VALUE!</v>
      </c>
      <c r="D70" s="97"/>
      <c r="F70" s="92"/>
      <c r="G70" s="92"/>
      <c r="I70" s="97" t="str">
        <f t="shared" si="1"/>
        <v xml:space="preserve"> </v>
      </c>
      <c r="J70" s="91" t="str">
        <f>IF(OR(H70="",I70="",D70="",F70="",G70=""),"",CONCATENATE('План инф-ции (титул)'!$P$6,".",LEFT(H70,1),".",B70))</f>
        <v/>
      </c>
      <c r="K70" s="8"/>
      <c r="L70" s="97"/>
      <c r="M70" s="97"/>
      <c r="N70" s="97"/>
      <c r="O70" s="97"/>
      <c r="P70" s="97"/>
    </row>
    <row r="71">
      <c r="A71" s="91" t="e">
        <f t="shared" si="2"/>
        <v>#VALUE!</v>
      </c>
      <c r="B71" s="91" t="e">
        <f>IF(AND(A71=63,'План инф-ции (титул)'!$N$6&lt;&gt;""),"063П","063")</f>
        <v>#VALUE!</v>
      </c>
      <c r="D71" s="97"/>
      <c r="F71" s="92"/>
      <c r="G71" s="92"/>
      <c r="I71" s="97" t="str">
        <f t="shared" si="1"/>
        <v xml:space="preserve"> </v>
      </c>
      <c r="J71" s="91" t="str">
        <f>IF(OR(H71="",I71="",D71="",F71="",G71=""),"",CONCATENATE('План инф-ции (титул)'!$P$6,".",LEFT(H71,1),".",B71))</f>
        <v/>
      </c>
      <c r="K71" s="8"/>
      <c r="L71" s="97"/>
      <c r="M71" s="97"/>
      <c r="N71" s="97"/>
      <c r="O71" s="97"/>
      <c r="P71" s="97"/>
    </row>
    <row r="72">
      <c r="A72" s="91" t="e">
        <f t="shared" si="2"/>
        <v>#VALUE!</v>
      </c>
      <c r="B72" s="91" t="e">
        <f>IF(AND(A72=64,'План инф-ции (титул)'!$N$6&lt;&gt;""),"064П","064")</f>
        <v>#VALUE!</v>
      </c>
      <c r="D72" s="97"/>
      <c r="F72" s="92"/>
      <c r="G72" s="92"/>
      <c r="I72" s="97" t="str">
        <f t="shared" si="1"/>
        <v xml:space="preserve"> </v>
      </c>
      <c r="J72" s="91" t="str">
        <f>IF(OR(H72="",I72="",D72="",F72="",G72=""),"",CONCATENATE('План инф-ции (титул)'!$P$6,".",LEFT(H72,1),".",B72))</f>
        <v/>
      </c>
      <c r="K72" s="8"/>
      <c r="L72" s="97"/>
      <c r="M72" s="97"/>
      <c r="N72" s="97"/>
      <c r="O72" s="97"/>
      <c r="P72" s="97"/>
    </row>
    <row r="73">
      <c r="A73" s="91" t="e">
        <f t="shared" si="2"/>
        <v>#VALUE!</v>
      </c>
      <c r="B73" s="91" t="e">
        <f>IF(AND(A73=65,'План инф-ции (титул)'!$N$6&lt;&gt;""),"065П","065")</f>
        <v>#VALUE!</v>
      </c>
      <c r="D73" s="97"/>
      <c r="F73" s="92"/>
      <c r="G73" s="92"/>
      <c r="I73" s="97" t="str">
        <f t="shared" si="1"/>
        <v xml:space="preserve"> </v>
      </c>
      <c r="J73" s="91" t="str">
        <f>IF(OR(H73="",I73="",D73="",F73="",G73=""),"",CONCATENATE('План инф-ции (титул)'!$P$6,".",LEFT(H73,1),".",B73))</f>
        <v/>
      </c>
      <c r="K73" s="8"/>
      <c r="L73" s="97"/>
      <c r="M73" s="97"/>
      <c r="N73" s="97"/>
      <c r="O73" s="97"/>
      <c r="P73" s="97"/>
    </row>
    <row r="74">
      <c r="A74" s="91" t="e">
        <f t="shared" si="2"/>
        <v>#VALUE!</v>
      </c>
      <c r="B74" s="91" t="e">
        <f>IF(AND(A74=66,'План инф-ции (титул)'!$N$6&lt;&gt;""),"066П","066")</f>
        <v>#VALUE!</v>
      </c>
      <c r="D74" s="97"/>
      <c r="F74" s="92"/>
      <c r="G74" s="92"/>
      <c r="I74" s="97" t="str">
        <f t="shared" ref="I74:I137" si="3">CONCATENATE(H74," ",D74)</f>
        <v xml:space="preserve"> </v>
      </c>
      <c r="J74" s="91" t="str">
        <f>IF(OR(H74="",I74="",D74="",F74="",G74=""),"",CONCATENATE('План инф-ции (титул)'!$P$6,".",LEFT(H74,1),".",B74))</f>
        <v/>
      </c>
      <c r="K74" s="8"/>
      <c r="L74" s="97"/>
      <c r="M74" s="97"/>
      <c r="N74" s="97"/>
      <c r="O74" s="97"/>
      <c r="P74" s="97"/>
    </row>
    <row r="75">
      <c r="A75" s="91" t="e">
        <f t="shared" si="2"/>
        <v>#VALUE!</v>
      </c>
      <c r="B75" s="91" t="e">
        <f>IF(AND(A75=67,'План инф-ции (титул)'!$N$6&lt;&gt;""),"067П","067")</f>
        <v>#VALUE!</v>
      </c>
      <c r="D75" s="97"/>
      <c r="F75" s="92"/>
      <c r="G75" s="92"/>
      <c r="I75" s="97" t="str">
        <f t="shared" si="3"/>
        <v xml:space="preserve"> </v>
      </c>
      <c r="J75" s="91" t="str">
        <f>IF(OR(H75="",I75="",D75="",F75="",G75=""),"",CONCATENATE('План инф-ции (титул)'!$P$6,".",LEFT(H75,1),".",B75))</f>
        <v/>
      </c>
      <c r="K75" s="8"/>
      <c r="L75" s="97"/>
      <c r="M75" s="97"/>
      <c r="N75" s="97"/>
      <c r="O75" s="97"/>
      <c r="P75" s="97"/>
    </row>
    <row r="76">
      <c r="A76" s="91" t="e">
        <f t="shared" si="2"/>
        <v>#VALUE!</v>
      </c>
      <c r="B76" s="91" t="e">
        <f>IF(AND(A76=68,'План инф-ции (титул)'!$N$6&lt;&gt;""),"068П","068")</f>
        <v>#VALUE!</v>
      </c>
      <c r="D76" s="97"/>
      <c r="F76" s="92"/>
      <c r="G76" s="92"/>
      <c r="I76" s="97" t="str">
        <f t="shared" si="3"/>
        <v xml:space="preserve"> </v>
      </c>
      <c r="J76" s="91" t="str">
        <f>IF(OR(H76="",I76="",D76="",F76="",G76=""),"",CONCATENATE('План инф-ции (титул)'!$P$6,".",LEFT(H76,1),".",B76))</f>
        <v/>
      </c>
      <c r="K76" s="8"/>
      <c r="L76" s="97"/>
      <c r="M76" s="97"/>
      <c r="N76" s="97"/>
      <c r="O76" s="97"/>
      <c r="P76" s="97"/>
    </row>
    <row r="77">
      <c r="A77" s="91" t="e">
        <f t="shared" si="2"/>
        <v>#VALUE!</v>
      </c>
      <c r="B77" s="91" t="e">
        <f>IF(AND(A77=69,'План инф-ции (титул)'!$N$6&lt;&gt;""),"069П","069")</f>
        <v>#VALUE!</v>
      </c>
      <c r="D77" s="97"/>
      <c r="F77" s="92"/>
      <c r="G77" s="92"/>
      <c r="I77" s="97" t="str">
        <f t="shared" si="3"/>
        <v xml:space="preserve"> </v>
      </c>
      <c r="J77" s="91" t="str">
        <f>IF(OR(H77="",I77="",D77="",F77="",G77=""),"",CONCATENATE('План инф-ции (титул)'!$P$6,".",LEFT(H77,1),".",B77))</f>
        <v/>
      </c>
      <c r="K77" s="8"/>
      <c r="L77" s="97"/>
      <c r="M77" s="97"/>
      <c r="N77" s="97"/>
      <c r="O77" s="97"/>
      <c r="P77" s="97"/>
    </row>
    <row r="78">
      <c r="A78" s="91" t="e">
        <f t="shared" ref="A78:A109" si="4">IF(I78="","",A77+1)</f>
        <v>#VALUE!</v>
      </c>
      <c r="B78" s="91" t="e">
        <f>IF(AND(A78=70,'План инф-ции (титул)'!$N$6&lt;&gt;""),"070П","070")</f>
        <v>#VALUE!</v>
      </c>
      <c r="D78" s="97"/>
      <c r="F78" s="92"/>
      <c r="G78" s="92"/>
      <c r="I78" s="97" t="str">
        <f t="shared" si="3"/>
        <v xml:space="preserve"> </v>
      </c>
      <c r="J78" s="91" t="str">
        <f>IF(OR(H78="",I78="",D78="",F78="",G78=""),"",CONCATENATE('План инф-ции (титул)'!$P$6,".",LEFT(H78,1),".",B78))</f>
        <v/>
      </c>
      <c r="K78" s="8"/>
      <c r="L78" s="97"/>
      <c r="M78" s="97"/>
      <c r="N78" s="97"/>
      <c r="O78" s="97"/>
      <c r="P78" s="97"/>
    </row>
    <row r="79">
      <c r="A79" s="91" t="e">
        <f t="shared" si="4"/>
        <v>#VALUE!</v>
      </c>
      <c r="B79" s="91" t="e">
        <f>IF(AND(A79=71,'План инф-ции (титул)'!$N$6&lt;&gt;""),"071П","071")</f>
        <v>#VALUE!</v>
      </c>
      <c r="D79" s="97"/>
      <c r="F79" s="92"/>
      <c r="G79" s="92"/>
      <c r="I79" s="97" t="str">
        <f t="shared" si="3"/>
        <v xml:space="preserve"> </v>
      </c>
      <c r="J79" s="91" t="str">
        <f>IF(OR(H79="",I79="",D79="",F79="",G79=""),"",CONCATENATE('План инф-ции (титул)'!$P$6,".",LEFT(H79,1),".",B79))</f>
        <v/>
      </c>
      <c r="K79" s="8"/>
      <c r="L79" s="97"/>
      <c r="M79" s="97"/>
      <c r="N79" s="97"/>
      <c r="O79" s="97"/>
      <c r="P79" s="97"/>
    </row>
    <row r="80">
      <c r="A80" s="91" t="e">
        <f t="shared" si="4"/>
        <v>#VALUE!</v>
      </c>
      <c r="B80" s="91" t="e">
        <f>IF(AND(A80=72,'План инф-ции (титул)'!$N$6&lt;&gt;""),"072П","072")</f>
        <v>#VALUE!</v>
      </c>
      <c r="D80" s="97"/>
      <c r="F80" s="92"/>
      <c r="G80" s="92"/>
      <c r="I80" s="97" t="str">
        <f t="shared" si="3"/>
        <v xml:space="preserve"> </v>
      </c>
      <c r="J80" s="91" t="str">
        <f>IF(OR(H80="",I80="",D80="",F80="",G80=""),"",CONCATENATE('План инф-ции (титул)'!$P$6,".",LEFT(H80,1),".",B80))</f>
        <v/>
      </c>
      <c r="K80" s="8"/>
      <c r="L80" s="97"/>
      <c r="M80" s="97"/>
      <c r="N80" s="97"/>
      <c r="O80" s="97"/>
      <c r="P80" s="97"/>
    </row>
    <row r="81">
      <c r="A81" s="91" t="e">
        <f t="shared" si="4"/>
        <v>#VALUE!</v>
      </c>
      <c r="B81" s="91" t="e">
        <f>IF(AND(A81=73,'План инф-ции (титул)'!$N$6&lt;&gt;""),"073П","073")</f>
        <v>#VALUE!</v>
      </c>
      <c r="D81" s="97"/>
      <c r="F81" s="92"/>
      <c r="G81" s="92"/>
      <c r="I81" s="97" t="str">
        <f t="shared" si="3"/>
        <v xml:space="preserve"> </v>
      </c>
      <c r="J81" s="91" t="str">
        <f>IF(OR(H81="",I81="",D81="",F81="",G81=""),"",CONCATENATE('План инф-ции (титул)'!$P$6,".",LEFT(H81,1),".",B81))</f>
        <v/>
      </c>
      <c r="K81" s="8"/>
      <c r="L81" s="97"/>
      <c r="M81" s="97"/>
      <c r="N81" s="97"/>
      <c r="O81" s="97"/>
      <c r="P81" s="97"/>
    </row>
    <row r="82">
      <c r="A82" s="91" t="e">
        <f t="shared" si="4"/>
        <v>#VALUE!</v>
      </c>
      <c r="B82" s="91" t="e">
        <f>IF(AND(A82=74,'План инф-ции (титул)'!$N$6&lt;&gt;""),"074П","074")</f>
        <v>#VALUE!</v>
      </c>
      <c r="D82" s="97"/>
      <c r="F82" s="92"/>
      <c r="G82" s="92"/>
      <c r="I82" s="97" t="str">
        <f t="shared" si="3"/>
        <v xml:space="preserve"> </v>
      </c>
      <c r="J82" s="91" t="str">
        <f>IF(OR(H82="",I82="",D82="",F82="",G82=""),"",CONCATENATE('План инф-ции (титул)'!$P$6,".",LEFT(H82,1),".",B82))</f>
        <v/>
      </c>
      <c r="K82" s="8"/>
      <c r="L82" s="97"/>
      <c r="M82" s="97"/>
      <c r="N82" s="97"/>
      <c r="O82" s="97"/>
      <c r="P82" s="97"/>
    </row>
    <row r="83">
      <c r="A83" s="91" t="e">
        <f t="shared" si="4"/>
        <v>#VALUE!</v>
      </c>
      <c r="B83" s="91" t="e">
        <f>IF(AND(A83=75,'План инф-ции (титул)'!$N$6&lt;&gt;""),"075П","075")</f>
        <v>#VALUE!</v>
      </c>
      <c r="D83" s="97"/>
      <c r="F83" s="92"/>
      <c r="G83" s="92"/>
      <c r="I83" s="97" t="str">
        <f t="shared" si="3"/>
        <v xml:space="preserve"> </v>
      </c>
      <c r="J83" s="91" t="str">
        <f>IF(OR(H83="",I83="",D83="",F83="",G83=""),"",CONCATENATE('План инф-ции (титул)'!$P$6,".",LEFT(H83,1),".",B83))</f>
        <v/>
      </c>
      <c r="K83" s="8"/>
      <c r="L83" s="97"/>
      <c r="M83" s="97"/>
      <c r="N83" s="97"/>
      <c r="O83" s="97"/>
      <c r="P83" s="97"/>
    </row>
    <row r="84">
      <c r="A84" s="91" t="e">
        <f t="shared" si="4"/>
        <v>#VALUE!</v>
      </c>
      <c r="B84" s="91" t="e">
        <f>IF(AND(A84=76,'План инф-ции (титул)'!$N$6&lt;&gt;""),"076П","076")</f>
        <v>#VALUE!</v>
      </c>
      <c r="D84" s="97"/>
      <c r="F84" s="92"/>
      <c r="G84" s="92"/>
      <c r="I84" s="97" t="str">
        <f t="shared" si="3"/>
        <v xml:space="preserve"> </v>
      </c>
      <c r="J84" s="91" t="str">
        <f>IF(OR(H84="",I84="",D84="",F84="",G84=""),"",CONCATENATE('План инф-ции (титул)'!$P$6,".",LEFT(H84,1),".",B84))</f>
        <v/>
      </c>
      <c r="K84" s="8"/>
      <c r="L84" s="97"/>
      <c r="M84" s="97"/>
      <c r="N84" s="97"/>
      <c r="O84" s="97"/>
      <c r="P84" s="97"/>
    </row>
    <row r="85">
      <c r="A85" s="91" t="e">
        <f t="shared" si="4"/>
        <v>#VALUE!</v>
      </c>
      <c r="B85" s="91" t="e">
        <f>IF(AND(A85=77,'План инф-ции (титул)'!$N$6&lt;&gt;""),"077П","077")</f>
        <v>#VALUE!</v>
      </c>
      <c r="D85" s="97"/>
      <c r="F85" s="92"/>
      <c r="G85" s="92"/>
      <c r="I85" s="97" t="str">
        <f t="shared" si="3"/>
        <v xml:space="preserve"> </v>
      </c>
      <c r="J85" s="91" t="str">
        <f>IF(OR(H85="",I85="",D85="",F85="",G85=""),"",CONCATENATE('План инф-ции (титул)'!$P$6,".",LEFT(H85,1),".",B85))</f>
        <v/>
      </c>
      <c r="K85" s="8"/>
      <c r="L85" s="97"/>
      <c r="M85" s="97"/>
      <c r="N85" s="97"/>
      <c r="O85" s="97"/>
      <c r="P85" s="97"/>
    </row>
    <row r="86">
      <c r="A86" s="91" t="e">
        <f t="shared" si="4"/>
        <v>#VALUE!</v>
      </c>
      <c r="B86" s="91" t="e">
        <f>IF(AND(A86=78,'План инф-ции (титул)'!$N$6&lt;&gt;""),"078П","078")</f>
        <v>#VALUE!</v>
      </c>
      <c r="D86" s="97"/>
      <c r="F86" s="92"/>
      <c r="G86" s="92"/>
      <c r="I86" s="97" t="str">
        <f t="shared" si="3"/>
        <v xml:space="preserve"> </v>
      </c>
      <c r="J86" s="91" t="str">
        <f>IF(OR(H86="",I86="",D86="",F86="",G86=""),"",CONCATENATE('План инф-ции (титул)'!$P$6,".",LEFT(H86,1),".",B86))</f>
        <v/>
      </c>
      <c r="K86" s="8"/>
      <c r="L86" s="97"/>
      <c r="M86" s="97"/>
      <c r="N86" s="97"/>
      <c r="O86" s="97"/>
      <c r="P86" s="97"/>
    </row>
    <row r="87">
      <c r="A87" s="91" t="e">
        <f t="shared" si="4"/>
        <v>#VALUE!</v>
      </c>
      <c r="B87" s="91" t="e">
        <f>IF(AND(A87=79,'План инф-ции (титул)'!$N$6&lt;&gt;""),"079П","079")</f>
        <v>#VALUE!</v>
      </c>
      <c r="D87" s="97"/>
      <c r="F87" s="92"/>
      <c r="G87" s="92"/>
      <c r="I87" s="97" t="str">
        <f t="shared" si="3"/>
        <v xml:space="preserve"> </v>
      </c>
      <c r="J87" s="91" t="str">
        <f>IF(OR(H87="",I87="",D87="",F87="",G87=""),"",CONCATENATE('План инф-ции (титул)'!$P$6,".",LEFT(H87,1),".",B87))</f>
        <v/>
      </c>
      <c r="K87" s="8"/>
      <c r="L87" s="97"/>
      <c r="M87" s="97"/>
      <c r="N87" s="97"/>
      <c r="O87" s="97"/>
      <c r="P87" s="97"/>
    </row>
    <row r="88">
      <c r="A88" s="91" t="e">
        <f t="shared" si="4"/>
        <v>#VALUE!</v>
      </c>
      <c r="B88" s="91" t="e">
        <f>IF(AND(A88=80,'План инф-ции (титул)'!$N$6&lt;&gt;""),"080П","080")</f>
        <v>#VALUE!</v>
      </c>
      <c r="D88" s="97"/>
      <c r="F88" s="92"/>
      <c r="G88" s="92"/>
      <c r="I88" s="97" t="str">
        <f t="shared" si="3"/>
        <v xml:space="preserve"> </v>
      </c>
      <c r="J88" s="91" t="str">
        <f>IF(OR(H88="",I88="",D88="",F88="",G88=""),"",CONCATENATE('План инф-ции (титул)'!$P$6,".",LEFT(H88,1),".",B88))</f>
        <v/>
      </c>
      <c r="K88" s="8"/>
      <c r="L88" s="97"/>
      <c r="M88" s="97"/>
      <c r="N88" s="97"/>
      <c r="O88" s="97"/>
      <c r="P88" s="97"/>
    </row>
    <row r="89">
      <c r="A89" s="91" t="e">
        <f t="shared" si="4"/>
        <v>#VALUE!</v>
      </c>
      <c r="B89" s="91" t="e">
        <f>IF(AND(A89=81,'План инф-ции (титул)'!$N$6&lt;&gt;""),"081П","081")</f>
        <v>#VALUE!</v>
      </c>
      <c r="D89" s="97"/>
      <c r="F89" s="92"/>
      <c r="G89" s="92"/>
      <c r="I89" s="97" t="str">
        <f t="shared" si="3"/>
        <v xml:space="preserve"> </v>
      </c>
      <c r="J89" s="91" t="str">
        <f>IF(OR(H89="",I89="",D89="",F89="",G89=""),"",CONCATENATE('План инф-ции (титул)'!$P$6,".",LEFT(H89,1),".",B89))</f>
        <v/>
      </c>
      <c r="K89" s="8"/>
      <c r="L89" s="97"/>
      <c r="M89" s="97"/>
      <c r="N89" s="97"/>
      <c r="O89" s="97"/>
      <c r="P89" s="97"/>
    </row>
    <row r="90">
      <c r="A90" s="91" t="e">
        <f t="shared" si="4"/>
        <v>#VALUE!</v>
      </c>
      <c r="B90" s="91" t="e">
        <f>IF(AND(A90=82,'План инф-ции (титул)'!$N$6&lt;&gt;""),"082П","082")</f>
        <v>#VALUE!</v>
      </c>
      <c r="D90" s="97"/>
      <c r="F90" s="92"/>
      <c r="G90" s="92"/>
      <c r="I90" s="97" t="str">
        <f t="shared" si="3"/>
        <v xml:space="preserve"> </v>
      </c>
      <c r="J90" s="91" t="str">
        <f>IF(OR(H90="",I90="",D90="",F90="",G90=""),"",CONCATENATE('План инф-ции (титул)'!$P$6,".",LEFT(H90,1),".",B90))</f>
        <v/>
      </c>
      <c r="K90" s="8"/>
      <c r="L90" s="97"/>
      <c r="M90" s="97"/>
      <c r="N90" s="97"/>
      <c r="O90" s="97"/>
      <c r="P90" s="97"/>
    </row>
    <row r="91">
      <c r="A91" s="91" t="e">
        <f t="shared" si="4"/>
        <v>#VALUE!</v>
      </c>
      <c r="B91" s="91" t="e">
        <f>IF(AND(A91=83,'План инф-ции (титул)'!$N$6&lt;&gt;""),"083П","083")</f>
        <v>#VALUE!</v>
      </c>
      <c r="D91" s="97"/>
      <c r="F91" s="92"/>
      <c r="G91" s="92"/>
      <c r="I91" s="97" t="str">
        <f t="shared" si="3"/>
        <v xml:space="preserve"> </v>
      </c>
      <c r="J91" s="91" t="str">
        <f>IF(OR(H91="",I91="",D91="",F91="",G91=""),"",CONCATENATE('План инф-ции (титул)'!$P$6,".",LEFT(H91,1),".",B91))</f>
        <v/>
      </c>
      <c r="K91" s="8"/>
      <c r="L91" s="97"/>
      <c r="M91" s="97"/>
      <c r="N91" s="97"/>
      <c r="O91" s="97"/>
      <c r="P91" s="97"/>
    </row>
    <row r="92">
      <c r="A92" s="91" t="e">
        <f t="shared" si="4"/>
        <v>#VALUE!</v>
      </c>
      <c r="B92" s="91" t="e">
        <f>IF(AND(A92=84,'План инф-ции (титул)'!$N$6&lt;&gt;""),"084П","084")</f>
        <v>#VALUE!</v>
      </c>
      <c r="D92" s="97"/>
      <c r="F92" s="92"/>
      <c r="G92" s="92"/>
      <c r="I92" s="97" t="str">
        <f t="shared" si="3"/>
        <v xml:space="preserve"> </v>
      </c>
      <c r="J92" s="91" t="str">
        <f>IF(OR(H92="",I92="",D92="",F92="",G92=""),"",CONCATENATE('План инф-ции (титул)'!$P$6,".",LEFT(H92,1),".",B92))</f>
        <v/>
      </c>
      <c r="K92" s="8"/>
      <c r="L92" s="97"/>
      <c r="M92" s="97"/>
      <c r="N92" s="97"/>
      <c r="O92" s="97"/>
      <c r="P92" s="97"/>
    </row>
    <row r="93">
      <c r="A93" s="91" t="e">
        <f t="shared" si="4"/>
        <v>#VALUE!</v>
      </c>
      <c r="B93" s="91" t="e">
        <f>IF(AND(A93=85,'План инф-ции (титул)'!$N$6&lt;&gt;""),"085П","085")</f>
        <v>#VALUE!</v>
      </c>
      <c r="D93" s="97"/>
      <c r="F93" s="92"/>
      <c r="G93" s="92"/>
      <c r="I93" s="97" t="str">
        <f t="shared" si="3"/>
        <v xml:space="preserve"> </v>
      </c>
      <c r="J93" s="91" t="str">
        <f>IF(OR(H93="",I93="",D93="",F93="",G93=""),"",CONCATENATE('План инф-ции (титул)'!$P$6,".",LEFT(H93,1),".",B93))</f>
        <v/>
      </c>
      <c r="K93" s="8"/>
      <c r="L93" s="97"/>
      <c r="M93" s="97"/>
      <c r="N93" s="97"/>
      <c r="O93" s="97"/>
      <c r="P93" s="97"/>
    </row>
    <row r="94">
      <c r="A94" s="91" t="e">
        <f t="shared" si="4"/>
        <v>#VALUE!</v>
      </c>
      <c r="B94" s="91" t="e">
        <f>IF(AND(A94=86,'План инф-ции (титул)'!$N$6&lt;&gt;""),"086П","086")</f>
        <v>#VALUE!</v>
      </c>
      <c r="D94" s="97"/>
      <c r="F94" s="92"/>
      <c r="G94" s="92"/>
      <c r="I94" s="97" t="str">
        <f t="shared" si="3"/>
        <v xml:space="preserve"> </v>
      </c>
      <c r="J94" s="91" t="str">
        <f>IF(OR(H94="",I94="",D94="",F94="",G94=""),"",CONCATENATE('План инф-ции (титул)'!$P$6,".",LEFT(H94,1),".",B94))</f>
        <v/>
      </c>
      <c r="K94" s="8"/>
      <c r="L94" s="97"/>
      <c r="M94" s="97"/>
      <c r="N94" s="97"/>
      <c r="O94" s="97"/>
      <c r="P94" s="97"/>
    </row>
    <row r="95">
      <c r="A95" s="91" t="e">
        <f t="shared" si="4"/>
        <v>#VALUE!</v>
      </c>
      <c r="B95" s="91" t="e">
        <f>IF(AND(A95=87,'План инф-ции (титул)'!$N$6&lt;&gt;""),"087П","087")</f>
        <v>#VALUE!</v>
      </c>
      <c r="D95" s="97"/>
      <c r="F95" s="92"/>
      <c r="G95" s="92"/>
      <c r="I95" s="97" t="str">
        <f t="shared" si="3"/>
        <v xml:space="preserve"> </v>
      </c>
      <c r="J95" s="91" t="str">
        <f>IF(OR(H95="",I95="",D95="",F95="",G95=""),"",CONCATENATE('План инф-ции (титул)'!$P$6,".",LEFT(H95,1),".",B95))</f>
        <v/>
      </c>
      <c r="K95" s="8"/>
      <c r="L95" s="97"/>
      <c r="M95" s="97"/>
      <c r="N95" s="97"/>
      <c r="O95" s="97"/>
      <c r="P95" s="97"/>
    </row>
    <row r="96">
      <c r="A96" s="91" t="e">
        <f t="shared" si="4"/>
        <v>#VALUE!</v>
      </c>
      <c r="B96" s="91" t="e">
        <f>IF(AND(A96=88,'План инф-ции (титул)'!$N$6&lt;&gt;""),"088П","088")</f>
        <v>#VALUE!</v>
      </c>
      <c r="D96" s="97"/>
      <c r="F96" s="92"/>
      <c r="G96" s="92"/>
      <c r="I96" s="97" t="str">
        <f t="shared" si="3"/>
        <v xml:space="preserve"> </v>
      </c>
      <c r="J96" s="91" t="str">
        <f>IF(OR(H96="",I96="",D96="",F96="",G96=""),"",CONCATENATE('План инф-ции (титул)'!$P$6,".",LEFT(H96,1),".",B96))</f>
        <v/>
      </c>
      <c r="K96" s="8"/>
      <c r="L96" s="97"/>
      <c r="M96" s="97"/>
      <c r="N96" s="97"/>
      <c r="O96" s="97"/>
      <c r="P96" s="97"/>
    </row>
    <row r="97">
      <c r="A97" s="91" t="e">
        <f t="shared" si="4"/>
        <v>#VALUE!</v>
      </c>
      <c r="B97" s="91" t="e">
        <f>IF(AND(A97=89,'План инф-ции (титул)'!$N$6&lt;&gt;""),"089П","089")</f>
        <v>#VALUE!</v>
      </c>
      <c r="D97" s="97"/>
      <c r="F97" s="92"/>
      <c r="G97" s="92"/>
      <c r="I97" s="97" t="str">
        <f t="shared" si="3"/>
        <v xml:space="preserve"> </v>
      </c>
      <c r="J97" s="91" t="str">
        <f>IF(OR(H97="",I97="",D97="",F97="",G97=""),"",CONCATENATE('План инф-ции (титул)'!$P$6,".",LEFT(H97,1),".",B97))</f>
        <v/>
      </c>
      <c r="K97" s="8"/>
      <c r="L97" s="97"/>
      <c r="M97" s="97"/>
      <c r="N97" s="97"/>
      <c r="O97" s="97"/>
      <c r="P97" s="97"/>
    </row>
    <row r="98">
      <c r="A98" s="91" t="e">
        <f t="shared" si="4"/>
        <v>#VALUE!</v>
      </c>
      <c r="B98" s="91" t="e">
        <f>IF(AND(A98=90,'План инф-ции (титул)'!$N$6&lt;&gt;""),"090П","090")</f>
        <v>#VALUE!</v>
      </c>
      <c r="D98" s="97"/>
      <c r="F98" s="92"/>
      <c r="G98" s="92"/>
      <c r="I98" s="97" t="str">
        <f t="shared" si="3"/>
        <v xml:space="preserve"> </v>
      </c>
      <c r="J98" s="91" t="str">
        <f>IF(OR(H98="",I98="",D98="",F98="",G98=""),"",CONCATENATE('План инф-ции (титул)'!$P$6,".",LEFT(H98,1),".",B98))</f>
        <v/>
      </c>
      <c r="K98" s="8"/>
      <c r="L98" s="97"/>
      <c r="M98" s="97"/>
      <c r="N98" s="97"/>
      <c r="O98" s="97"/>
      <c r="P98" s="97"/>
    </row>
    <row r="99">
      <c r="A99" s="91" t="e">
        <f t="shared" si="4"/>
        <v>#VALUE!</v>
      </c>
      <c r="B99" s="91" t="e">
        <f>IF(AND(A99=91,'План инф-ции (титул)'!$N$6&lt;&gt;""),"091П","091")</f>
        <v>#VALUE!</v>
      </c>
      <c r="D99" s="97"/>
      <c r="F99" s="92"/>
      <c r="G99" s="92"/>
      <c r="I99" s="97" t="str">
        <f t="shared" si="3"/>
        <v xml:space="preserve"> </v>
      </c>
      <c r="J99" s="91" t="str">
        <f>IF(OR(H99="",I99="",D99="",F99="",G99=""),"",CONCATENATE('План инф-ции (титул)'!$P$6,".",LEFT(H99,1),".",B99))</f>
        <v/>
      </c>
      <c r="K99" s="8"/>
      <c r="L99" s="97"/>
      <c r="M99" s="97"/>
      <c r="N99" s="97"/>
      <c r="O99" s="97"/>
      <c r="P99" s="97"/>
    </row>
    <row r="100">
      <c r="A100" s="91" t="e">
        <f t="shared" si="4"/>
        <v>#VALUE!</v>
      </c>
      <c r="B100" s="91" t="e">
        <f>IF(AND(A100=92,'План инф-ции (титул)'!$N$6&lt;&gt;""),"092П","092")</f>
        <v>#VALUE!</v>
      </c>
      <c r="D100" s="97"/>
      <c r="F100" s="92"/>
      <c r="G100" s="92"/>
      <c r="I100" s="97" t="str">
        <f t="shared" si="3"/>
        <v xml:space="preserve"> </v>
      </c>
      <c r="J100" s="91" t="str">
        <f>IF(OR(H100="",I100="",D100="",F100="",G100=""),"",CONCATENATE('План инф-ции (титул)'!$P$6,".",LEFT(H100,1),".",B100))</f>
        <v/>
      </c>
      <c r="K100" s="8"/>
      <c r="L100" s="97"/>
      <c r="M100" s="97"/>
      <c r="N100" s="97"/>
      <c r="O100" s="97"/>
      <c r="P100" s="97"/>
    </row>
    <row r="101">
      <c r="A101" s="91" t="e">
        <f t="shared" si="4"/>
        <v>#VALUE!</v>
      </c>
      <c r="B101" s="91" t="e">
        <f>IF(AND(A101=93,'План инф-ции (титул)'!$N$6&lt;&gt;""),"093П","093")</f>
        <v>#VALUE!</v>
      </c>
      <c r="D101" s="97"/>
      <c r="F101" s="92"/>
      <c r="G101" s="92"/>
      <c r="I101" s="97" t="str">
        <f t="shared" si="3"/>
        <v xml:space="preserve"> </v>
      </c>
      <c r="J101" s="91" t="str">
        <f>IF(OR(H101="",I101="",D101="",F101="",G101=""),"",CONCATENATE('План инф-ции (титул)'!$P$6,".",LEFT(H101,1),".",B101))</f>
        <v/>
      </c>
      <c r="K101" s="8"/>
      <c r="L101" s="97"/>
      <c r="M101" s="97"/>
      <c r="N101" s="97"/>
      <c r="O101" s="97"/>
      <c r="P101" s="97"/>
    </row>
    <row r="102">
      <c r="A102" s="91" t="e">
        <f t="shared" si="4"/>
        <v>#VALUE!</v>
      </c>
      <c r="B102" s="91" t="e">
        <f>IF(AND(A102=94,'План инф-ции (титул)'!$N$6&lt;&gt;""),"094П","094")</f>
        <v>#VALUE!</v>
      </c>
      <c r="D102" s="97"/>
      <c r="F102" s="92"/>
      <c r="G102" s="92"/>
      <c r="I102" s="97" t="str">
        <f t="shared" si="3"/>
        <v xml:space="preserve"> </v>
      </c>
      <c r="J102" s="91" t="str">
        <f>IF(OR(H102="",I102="",D102="",F102="",G102=""),"",CONCATENATE('План инф-ции (титул)'!$P$6,".",LEFT(H102,1),".",B102))</f>
        <v/>
      </c>
      <c r="K102" s="8"/>
      <c r="L102" s="97"/>
      <c r="M102" s="97"/>
      <c r="N102" s="97"/>
      <c r="O102" s="97"/>
      <c r="P102" s="97"/>
    </row>
    <row r="103">
      <c r="A103" s="91" t="e">
        <f t="shared" si="4"/>
        <v>#VALUE!</v>
      </c>
      <c r="B103" s="91" t="e">
        <f>IF(AND(A103=95,'План инф-ции (титул)'!$N$6&lt;&gt;""),"095П","095")</f>
        <v>#VALUE!</v>
      </c>
      <c r="D103" s="97"/>
      <c r="F103" s="92"/>
      <c r="G103" s="92"/>
      <c r="I103" s="97" t="str">
        <f t="shared" si="3"/>
        <v xml:space="preserve"> </v>
      </c>
      <c r="J103" s="91" t="str">
        <f>IF(OR(H103="",I103="",D103="",F103="",G103=""),"",CONCATENATE('План инф-ции (титул)'!$P$6,".",LEFT(H103,1),".",B103))</f>
        <v/>
      </c>
      <c r="K103" s="8"/>
      <c r="L103" s="97"/>
      <c r="M103" s="97"/>
      <c r="N103" s="97"/>
      <c r="O103" s="97"/>
      <c r="P103" s="97"/>
    </row>
    <row r="104">
      <c r="A104" s="91" t="e">
        <f t="shared" si="4"/>
        <v>#VALUE!</v>
      </c>
      <c r="B104" s="91" t="e">
        <f>IF(AND(A104=96,'План инф-ции (титул)'!$N$6&lt;&gt;""),"096П","096")</f>
        <v>#VALUE!</v>
      </c>
      <c r="D104" s="97"/>
      <c r="F104" s="92"/>
      <c r="G104" s="92"/>
      <c r="I104" s="97" t="str">
        <f t="shared" si="3"/>
        <v xml:space="preserve"> </v>
      </c>
      <c r="J104" s="91" t="str">
        <f>IF(OR(H104="",I104="",D104="",F104="",G104=""),"",CONCATENATE('План инф-ции (титул)'!$P$6,".",LEFT(H104,1),".",B104))</f>
        <v/>
      </c>
      <c r="K104" s="8"/>
      <c r="L104" s="97"/>
      <c r="M104" s="97"/>
      <c r="N104" s="97"/>
      <c r="O104" s="97"/>
      <c r="P104" s="97"/>
    </row>
    <row r="105">
      <c r="A105" s="91" t="e">
        <f t="shared" si="4"/>
        <v>#VALUE!</v>
      </c>
      <c r="B105" s="91" t="e">
        <f>IF(AND(A105=97,'План инф-ции (титул)'!$N$6&lt;&gt;""),"097П","097")</f>
        <v>#VALUE!</v>
      </c>
      <c r="D105" s="97"/>
      <c r="F105" s="92"/>
      <c r="G105" s="92"/>
      <c r="I105" s="97" t="str">
        <f t="shared" si="3"/>
        <v xml:space="preserve"> </v>
      </c>
      <c r="J105" s="91" t="str">
        <f>IF(OR(H105="",I105="",D105="",F105="",G105=""),"",CONCATENATE('План инф-ции (титул)'!$P$6,".",LEFT(H105,1),".",B105))</f>
        <v/>
      </c>
      <c r="K105" s="8"/>
      <c r="L105" s="97"/>
      <c r="M105" s="97"/>
      <c r="N105" s="97"/>
      <c r="O105" s="97"/>
      <c r="P105" s="97"/>
    </row>
    <row r="106">
      <c r="A106" s="91" t="e">
        <f t="shared" si="4"/>
        <v>#VALUE!</v>
      </c>
      <c r="B106" s="91" t="e">
        <f>IF(AND(A106=98,'План инф-ции (титул)'!$N$6&lt;&gt;""),"098П","098")</f>
        <v>#VALUE!</v>
      </c>
      <c r="D106" s="97"/>
      <c r="F106" s="92"/>
      <c r="G106" s="92"/>
      <c r="I106" s="97" t="str">
        <f t="shared" si="3"/>
        <v xml:space="preserve"> </v>
      </c>
      <c r="J106" s="91" t="str">
        <f>IF(OR(H106="",I106="",D106="",F106="",G106=""),"",CONCATENATE('План инф-ции (титул)'!$P$6,".",LEFT(H106,1),".",B106))</f>
        <v/>
      </c>
      <c r="K106" s="8"/>
      <c r="L106" s="97"/>
      <c r="M106" s="97"/>
      <c r="N106" s="97"/>
      <c r="O106" s="97"/>
      <c r="P106" s="97"/>
    </row>
    <row r="107">
      <c r="A107" s="91" t="e">
        <f t="shared" si="4"/>
        <v>#VALUE!</v>
      </c>
      <c r="B107" s="91" t="e">
        <f>IF(AND(A107=99,'План инф-ции (титул)'!$N$6&lt;&gt;""),"099П","099")</f>
        <v>#VALUE!</v>
      </c>
      <c r="D107" s="97"/>
      <c r="F107" s="92"/>
      <c r="G107" s="92"/>
      <c r="I107" s="97" t="str">
        <f t="shared" si="3"/>
        <v xml:space="preserve"> </v>
      </c>
      <c r="J107" s="91" t="str">
        <f>IF(OR(H107="",I107="",D107="",F107="",G107=""),"",CONCATENATE('План инф-ции (титул)'!$P$6,".",LEFT(H107,1),".",B107))</f>
        <v/>
      </c>
      <c r="K107" s="8"/>
      <c r="L107" s="97"/>
      <c r="M107" s="97"/>
      <c r="N107" s="97"/>
      <c r="O107" s="97"/>
      <c r="P107" s="97"/>
    </row>
    <row r="108">
      <c r="A108" s="91" t="e">
        <f t="shared" si="4"/>
        <v>#VALUE!</v>
      </c>
      <c r="B108" s="91" t="e">
        <f>IF(AND(A108=100,'План инф-ции (титул)'!$N$6&lt;&gt;""),"100П","100")</f>
        <v>#VALUE!</v>
      </c>
      <c r="D108" s="97"/>
      <c r="F108" s="92"/>
      <c r="G108" s="92"/>
      <c r="I108" s="97" t="str">
        <f t="shared" si="3"/>
        <v xml:space="preserve"> </v>
      </c>
      <c r="J108" s="91" t="str">
        <f>IF(OR(H108="",I108="",D108="",F108="",G108=""),"",CONCATENATE('План инф-ции (титул)'!$P$6,".",LEFT(H108,1),".",B108))</f>
        <v/>
      </c>
      <c r="K108" s="8"/>
      <c r="L108" s="97"/>
      <c r="M108" s="97"/>
      <c r="N108" s="97"/>
      <c r="O108" s="97"/>
      <c r="P108" s="97"/>
    </row>
    <row r="109">
      <c r="A109" s="91" t="e">
        <f t="shared" si="4"/>
        <v>#VALUE!</v>
      </c>
      <c r="B109" s="91" t="e">
        <f>IF(AND(A109=101,'План инф-ции (титул)'!$N$6&lt;&gt;""),"101П","101")</f>
        <v>#VALUE!</v>
      </c>
      <c r="D109" s="97"/>
      <c r="F109" s="92"/>
      <c r="G109" s="92"/>
      <c r="I109" s="97" t="str">
        <f t="shared" si="3"/>
        <v xml:space="preserve"> </v>
      </c>
      <c r="J109" s="91" t="str">
        <f>IF(OR(H109="",I109="",D109="",F109="",G109=""),"",CONCATENATE('План инф-ции (титул)'!$P$6,".",LEFT(H109,1),".",B109))</f>
        <v/>
      </c>
      <c r="K109" s="8"/>
      <c r="L109" s="97"/>
      <c r="M109" s="97"/>
      <c r="N109" s="97"/>
      <c r="O109" s="97"/>
      <c r="P109" s="97"/>
    </row>
    <row r="110">
      <c r="A110" s="91" t="e">
        <f t="shared" ref="A110:A173" si="5">IF(I110="","",A109+1)</f>
        <v>#VALUE!</v>
      </c>
      <c r="B110" s="91" t="e">
        <f>IF(AND(A110=102,'План инф-ции (титул)'!$N$6&lt;&gt;""),"102П","102")</f>
        <v>#VALUE!</v>
      </c>
      <c r="D110" s="97"/>
      <c r="F110" s="92"/>
      <c r="G110" s="92"/>
      <c r="I110" s="97" t="str">
        <f t="shared" si="3"/>
        <v xml:space="preserve"> </v>
      </c>
      <c r="J110" s="91" t="str">
        <f>IF(OR(H110="",I110="",D110="",F110="",G110=""),"",CONCATENATE('План инф-ции (титул)'!$P$6,".",LEFT(H110,1),".",B110))</f>
        <v/>
      </c>
      <c r="K110" s="8"/>
      <c r="L110" s="97"/>
      <c r="M110" s="97"/>
      <c r="N110" s="97"/>
      <c r="O110" s="97"/>
      <c r="P110" s="97"/>
    </row>
    <row r="111">
      <c r="A111" s="91" t="e">
        <f t="shared" si="5"/>
        <v>#VALUE!</v>
      </c>
      <c r="B111" s="91" t="e">
        <f>IF(AND(A111=103,'План инф-ции (титул)'!$N$6&lt;&gt;""),"103П","103")</f>
        <v>#VALUE!</v>
      </c>
      <c r="D111" s="97"/>
      <c r="F111" s="92"/>
      <c r="G111" s="92"/>
      <c r="I111" s="97" t="str">
        <f t="shared" si="3"/>
        <v xml:space="preserve"> </v>
      </c>
      <c r="J111" s="91" t="str">
        <f>IF(OR(H111="",I111="",D111="",F111="",G111=""),"",CONCATENATE('План инф-ции (титул)'!$P$6,".",LEFT(H111,1),".",B111))</f>
        <v/>
      </c>
      <c r="K111" s="8"/>
      <c r="L111" s="97"/>
      <c r="M111" s="97"/>
      <c r="N111" s="97"/>
      <c r="O111" s="97"/>
      <c r="P111" s="97"/>
    </row>
    <row r="112">
      <c r="A112" s="91" t="e">
        <f t="shared" si="5"/>
        <v>#VALUE!</v>
      </c>
      <c r="B112" s="91" t="e">
        <f>IF(AND(A112=104,'План инф-ции (титул)'!$N$6&lt;&gt;""),"104П","104")</f>
        <v>#VALUE!</v>
      </c>
      <c r="D112" s="97"/>
      <c r="F112" s="92"/>
      <c r="G112" s="92"/>
      <c r="I112" s="97" t="str">
        <f t="shared" si="3"/>
        <v xml:space="preserve"> </v>
      </c>
      <c r="J112" s="91" t="str">
        <f>IF(OR(H112="",I112="",D112="",F112="",G112=""),"",CONCATENATE('План инф-ции (титул)'!$P$6,".",LEFT(H112,1),".",B112))</f>
        <v/>
      </c>
      <c r="K112" s="8"/>
      <c r="L112" s="97"/>
      <c r="M112" s="97"/>
      <c r="N112" s="97"/>
      <c r="O112" s="97"/>
      <c r="P112" s="97"/>
    </row>
    <row r="113">
      <c r="A113" s="91" t="e">
        <f t="shared" si="5"/>
        <v>#VALUE!</v>
      </c>
      <c r="B113" s="91" t="e">
        <f>IF(AND(A113=105,'План инф-ции (титул)'!$N$6&lt;&gt;""),"105П","105")</f>
        <v>#VALUE!</v>
      </c>
      <c r="D113" s="97"/>
      <c r="F113" s="92"/>
      <c r="G113" s="92"/>
      <c r="I113" s="97" t="str">
        <f t="shared" si="3"/>
        <v xml:space="preserve"> </v>
      </c>
      <c r="J113" s="91" t="str">
        <f>IF(OR(H113="",I113="",D113="",F113="",G113=""),"",CONCATENATE('План инф-ции (титул)'!$P$6,".",LEFT(H113,1),".",B113))</f>
        <v/>
      </c>
      <c r="K113" s="8"/>
      <c r="L113" s="97"/>
      <c r="M113" s="97"/>
      <c r="N113" s="97"/>
      <c r="O113" s="97"/>
      <c r="P113" s="97"/>
    </row>
    <row r="114">
      <c r="A114" s="91" t="e">
        <f t="shared" si="5"/>
        <v>#VALUE!</v>
      </c>
      <c r="B114" s="91" t="e">
        <f>IF(AND(A114=106,'План инф-ции (титул)'!$N$6&lt;&gt;""),"106П","106")</f>
        <v>#VALUE!</v>
      </c>
      <c r="D114" s="97"/>
      <c r="F114" s="92"/>
      <c r="G114" s="92"/>
      <c r="I114" s="97" t="str">
        <f t="shared" si="3"/>
        <v xml:space="preserve"> </v>
      </c>
      <c r="J114" s="91" t="str">
        <f>IF(OR(H114="",I114="",D114="",F114="",G114=""),"",CONCATENATE('План инф-ции (титул)'!$P$6,".",LEFT(H114,1),".",B114))</f>
        <v/>
      </c>
      <c r="K114" s="8"/>
      <c r="L114" s="97"/>
      <c r="M114" s="97"/>
      <c r="N114" s="97"/>
      <c r="O114" s="97"/>
      <c r="P114" s="97"/>
    </row>
    <row r="115">
      <c r="A115" s="91" t="e">
        <f t="shared" si="5"/>
        <v>#VALUE!</v>
      </c>
      <c r="B115" s="91" t="e">
        <f>IF(AND(A115=107,'План инф-ции (титул)'!$N$6&lt;&gt;""),"107П","107")</f>
        <v>#VALUE!</v>
      </c>
      <c r="D115" s="97"/>
      <c r="F115" s="92"/>
      <c r="G115" s="92"/>
      <c r="I115" s="97" t="str">
        <f t="shared" si="3"/>
        <v xml:space="preserve"> </v>
      </c>
      <c r="J115" s="91" t="str">
        <f>IF(OR(H115="",I115="",D115="",F115="",G115=""),"",CONCATENATE('План инф-ции (титул)'!$P$6,".",LEFT(H115,1),".",B115))</f>
        <v/>
      </c>
      <c r="K115" s="8"/>
      <c r="L115" s="97"/>
      <c r="M115" s="97"/>
      <c r="N115" s="97"/>
      <c r="O115" s="97"/>
      <c r="P115" s="97"/>
    </row>
    <row r="116">
      <c r="A116" s="91" t="e">
        <f t="shared" si="5"/>
        <v>#VALUE!</v>
      </c>
      <c r="B116" s="91" t="e">
        <f>IF(AND(A116=108,'План инф-ции (титул)'!$N$6&lt;&gt;""),"108П","108")</f>
        <v>#VALUE!</v>
      </c>
      <c r="D116" s="97"/>
      <c r="F116" s="92"/>
      <c r="G116" s="92"/>
      <c r="I116" s="97" t="str">
        <f t="shared" si="3"/>
        <v xml:space="preserve"> </v>
      </c>
      <c r="J116" s="91" t="str">
        <f>IF(OR(H116="",I116="",D116="",F116="",G116=""),"",CONCATENATE('План инф-ции (титул)'!$P$6,".",LEFT(H116,1),".",B116))</f>
        <v/>
      </c>
      <c r="K116" s="8"/>
      <c r="L116" s="97"/>
      <c r="M116" s="97"/>
      <c r="N116" s="97"/>
      <c r="O116" s="97"/>
      <c r="P116" s="97"/>
    </row>
    <row r="117">
      <c r="A117" s="91" t="e">
        <f t="shared" si="5"/>
        <v>#VALUE!</v>
      </c>
      <c r="B117" s="91" t="e">
        <f>IF(AND(A117=109,'План инф-ции (титул)'!$N$6&lt;&gt;""),"109П","109")</f>
        <v>#VALUE!</v>
      </c>
      <c r="D117" s="97"/>
      <c r="F117" s="92"/>
      <c r="G117" s="92"/>
      <c r="I117" s="97" t="str">
        <f t="shared" si="3"/>
        <v xml:space="preserve"> </v>
      </c>
      <c r="J117" s="91" t="str">
        <f>IF(OR(H117="",I117="",D117="",F117="",G117=""),"",CONCATENATE('План инф-ции (титул)'!$P$6,".",LEFT(H117,1),".",B117))</f>
        <v/>
      </c>
      <c r="K117" s="8"/>
      <c r="L117" s="97"/>
      <c r="M117" s="97"/>
      <c r="N117" s="97"/>
      <c r="O117" s="97"/>
      <c r="P117" s="97"/>
    </row>
    <row r="118">
      <c r="A118" s="91" t="e">
        <f t="shared" si="5"/>
        <v>#VALUE!</v>
      </c>
      <c r="B118" s="91" t="e">
        <f>IF(AND(A118=110,'План инф-ции (титул)'!$N$6&lt;&gt;""),"110П","110")</f>
        <v>#VALUE!</v>
      </c>
      <c r="D118" s="97"/>
      <c r="F118" s="92"/>
      <c r="G118" s="92"/>
      <c r="I118" s="97" t="str">
        <f t="shared" si="3"/>
        <v xml:space="preserve"> </v>
      </c>
      <c r="J118" s="91" t="str">
        <f>IF(OR(H118="",I118="",D118="",F118="",G118=""),"",CONCATENATE('План инф-ции (титул)'!$P$6,".",LEFT(H118,1),".",B118))</f>
        <v/>
      </c>
      <c r="K118" s="8"/>
      <c r="L118" s="97"/>
      <c r="M118" s="97"/>
      <c r="N118" s="97"/>
      <c r="O118" s="97"/>
      <c r="P118" s="97"/>
    </row>
    <row r="119">
      <c r="A119" s="91" t="e">
        <f t="shared" si="5"/>
        <v>#VALUE!</v>
      </c>
      <c r="B119" s="91" t="e">
        <f>IF(AND(A119=111,'План инф-ции (титул)'!$N$6&lt;&gt;""),"111П","111")</f>
        <v>#VALUE!</v>
      </c>
      <c r="D119" s="97"/>
      <c r="F119" s="92"/>
      <c r="G119" s="92"/>
      <c r="I119" s="97" t="str">
        <f t="shared" si="3"/>
        <v xml:space="preserve"> </v>
      </c>
      <c r="J119" s="91" t="str">
        <f>IF(OR(H119="",I119="",D119="",F119="",G119=""),"",CONCATENATE('План инф-ции (титул)'!$P$6,".",LEFT(H119,1),".",B119))</f>
        <v/>
      </c>
      <c r="K119" s="8"/>
      <c r="L119" s="97"/>
      <c r="M119" s="97"/>
      <c r="N119" s="97"/>
      <c r="O119" s="97"/>
      <c r="P119" s="97"/>
    </row>
    <row r="120">
      <c r="A120" s="91" t="e">
        <f t="shared" si="5"/>
        <v>#VALUE!</v>
      </c>
      <c r="B120" s="91" t="e">
        <f>IF(AND(A120=112,'План инф-ции (титул)'!$N$6&lt;&gt;""),"112П","112")</f>
        <v>#VALUE!</v>
      </c>
      <c r="D120" s="97"/>
      <c r="F120" s="92"/>
      <c r="G120" s="92"/>
      <c r="I120" s="97" t="str">
        <f t="shared" si="3"/>
        <v xml:space="preserve"> </v>
      </c>
      <c r="J120" s="91" t="str">
        <f>IF(OR(H120="",I120="",D120="",F120="",G120=""),"",CONCATENATE('План инф-ции (титул)'!$P$6,".",LEFT(H120,1),".",B120))</f>
        <v/>
      </c>
      <c r="K120" s="8"/>
      <c r="L120" s="97"/>
      <c r="M120" s="97"/>
      <c r="N120" s="97"/>
      <c r="O120" s="97"/>
      <c r="P120" s="97"/>
    </row>
    <row r="121">
      <c r="A121" s="91" t="e">
        <f t="shared" si="5"/>
        <v>#VALUE!</v>
      </c>
      <c r="B121" s="91" t="e">
        <f>IF(AND(A121=113,'План инф-ции (титул)'!$N$6&lt;&gt;""),"113П","113")</f>
        <v>#VALUE!</v>
      </c>
      <c r="D121" s="97"/>
      <c r="F121" s="92"/>
      <c r="G121" s="92"/>
      <c r="I121" s="97" t="str">
        <f t="shared" si="3"/>
        <v xml:space="preserve"> </v>
      </c>
      <c r="J121" s="91" t="str">
        <f>IF(OR(H121="",I121="",D121="",F121="",G121=""),"",CONCATENATE('План инф-ции (титул)'!$P$6,".",LEFT(H121,1),".",B121))</f>
        <v/>
      </c>
      <c r="K121" s="8"/>
      <c r="L121" s="97"/>
      <c r="M121" s="97"/>
      <c r="N121" s="97"/>
      <c r="O121" s="97"/>
      <c r="P121" s="97"/>
    </row>
    <row r="122">
      <c r="A122" s="91" t="e">
        <f t="shared" si="5"/>
        <v>#VALUE!</v>
      </c>
      <c r="B122" s="91" t="e">
        <f>IF(AND(A122=114,'План инф-ции (титул)'!$N$6&lt;&gt;""),"114П","114")</f>
        <v>#VALUE!</v>
      </c>
      <c r="D122" s="97"/>
      <c r="F122" s="92"/>
      <c r="G122" s="92"/>
      <c r="I122" s="97" t="str">
        <f t="shared" si="3"/>
        <v xml:space="preserve"> </v>
      </c>
      <c r="J122" s="91" t="str">
        <f>IF(OR(H122="",I122="",D122="",F122="",G122=""),"",CONCATENATE('План инф-ции (титул)'!$P$6,".",LEFT(H122,1),".",B122))</f>
        <v/>
      </c>
      <c r="K122" s="8"/>
      <c r="L122" s="97"/>
      <c r="M122" s="97"/>
      <c r="N122" s="97"/>
      <c r="O122" s="97"/>
      <c r="P122" s="97"/>
    </row>
    <row r="123">
      <c r="A123" s="91" t="e">
        <f t="shared" si="5"/>
        <v>#VALUE!</v>
      </c>
      <c r="B123" s="91" t="e">
        <f>IF(AND(A123=115,'План инф-ции (титул)'!$N$6&lt;&gt;""),"115П","115")</f>
        <v>#VALUE!</v>
      </c>
      <c r="D123" s="97"/>
      <c r="F123" s="92"/>
      <c r="G123" s="92"/>
      <c r="I123" s="97" t="str">
        <f t="shared" si="3"/>
        <v xml:space="preserve"> </v>
      </c>
      <c r="J123" s="91" t="str">
        <f>IF(OR(H123="",I123="",D123="",F123="",G123=""),"",CONCATENATE('План инф-ции (титул)'!$P$6,".",LEFT(H123,1),".",B123))</f>
        <v/>
      </c>
      <c r="K123" s="8"/>
      <c r="L123" s="97"/>
      <c r="M123" s="97"/>
      <c r="N123" s="97"/>
      <c r="O123" s="97"/>
      <c r="P123" s="97"/>
    </row>
    <row r="124">
      <c r="A124" s="91" t="e">
        <f t="shared" si="5"/>
        <v>#VALUE!</v>
      </c>
      <c r="B124" s="91" t="e">
        <f>IF(AND(A124=116,'План инф-ции (титул)'!$N$6&lt;&gt;""),"116П","116")</f>
        <v>#VALUE!</v>
      </c>
      <c r="D124" s="97"/>
      <c r="F124" s="92"/>
      <c r="G124" s="92"/>
      <c r="I124" s="97" t="str">
        <f t="shared" si="3"/>
        <v xml:space="preserve"> </v>
      </c>
      <c r="J124" s="91" t="str">
        <f>IF(OR(H124="",I124="",D124="",F124="",G124=""),"",CONCATENATE('План инф-ции (титул)'!$P$6,".",LEFT(H124,1),".",B124))</f>
        <v/>
      </c>
      <c r="K124" s="8"/>
      <c r="L124" s="97"/>
      <c r="M124" s="97"/>
      <c r="N124" s="97"/>
      <c r="O124" s="97"/>
      <c r="P124" s="97"/>
    </row>
    <row r="125">
      <c r="A125" s="91" t="e">
        <f t="shared" si="5"/>
        <v>#VALUE!</v>
      </c>
      <c r="B125" s="91" t="e">
        <f>IF(AND(A125=117,'План инф-ции (титул)'!$N$6&lt;&gt;""),"117П","117")</f>
        <v>#VALUE!</v>
      </c>
      <c r="D125" s="97"/>
      <c r="F125" s="92"/>
      <c r="G125" s="92"/>
      <c r="I125" s="97" t="str">
        <f t="shared" si="3"/>
        <v xml:space="preserve"> </v>
      </c>
      <c r="J125" s="91" t="str">
        <f>IF(OR(H125="",I125="",D125="",F125="",G125=""),"",CONCATENATE('План инф-ции (титул)'!$P$6,".",LEFT(H125,1),".",B125))</f>
        <v/>
      </c>
      <c r="K125" s="8"/>
      <c r="L125" s="97"/>
      <c r="M125" s="97"/>
      <c r="N125" s="97"/>
      <c r="O125" s="97"/>
      <c r="P125" s="97"/>
    </row>
    <row r="126">
      <c r="A126" s="91" t="e">
        <f t="shared" si="5"/>
        <v>#VALUE!</v>
      </c>
      <c r="B126" s="91" t="e">
        <f>IF(AND(A126=118,'План инф-ции (титул)'!$N$6&lt;&gt;""),"118П","118")</f>
        <v>#VALUE!</v>
      </c>
      <c r="D126" s="97"/>
      <c r="F126" s="92"/>
      <c r="G126" s="92"/>
      <c r="I126" s="97" t="str">
        <f t="shared" si="3"/>
        <v xml:space="preserve"> </v>
      </c>
      <c r="J126" s="91" t="str">
        <f>IF(OR(H126="",I126="",D126="",F126="",G126=""),"",CONCATENATE('План инф-ции (титул)'!$P$6,".",LEFT(H126,1),".",B126))</f>
        <v/>
      </c>
      <c r="K126" s="8"/>
      <c r="L126" s="97"/>
      <c r="M126" s="97"/>
      <c r="N126" s="97"/>
      <c r="O126" s="97"/>
      <c r="P126" s="97"/>
    </row>
    <row r="127">
      <c r="A127" s="91" t="e">
        <f t="shared" si="5"/>
        <v>#VALUE!</v>
      </c>
      <c r="B127" s="91" t="e">
        <f>IF(AND(A127=119,'План инф-ции (титул)'!$N$6&lt;&gt;""),"119П","119")</f>
        <v>#VALUE!</v>
      </c>
      <c r="D127" s="97"/>
      <c r="F127" s="92"/>
      <c r="G127" s="92"/>
      <c r="I127" s="97" t="str">
        <f t="shared" si="3"/>
        <v xml:space="preserve"> </v>
      </c>
      <c r="J127" s="91" t="str">
        <f>IF(OR(H127="",I127="",D127="",F127="",G127=""),"",CONCATENATE('План инф-ции (титул)'!$P$6,".",LEFT(H127,1),".",B127))</f>
        <v/>
      </c>
      <c r="K127" s="8"/>
      <c r="L127" s="97"/>
      <c r="M127" s="97"/>
      <c r="N127" s="97"/>
      <c r="O127" s="97"/>
      <c r="P127" s="97"/>
    </row>
    <row r="128">
      <c r="A128" s="91" t="e">
        <f t="shared" si="5"/>
        <v>#VALUE!</v>
      </c>
      <c r="B128" s="91" t="e">
        <f>IF(AND(A128=120,'План инф-ции (титул)'!$N$6&lt;&gt;""),"120П","120")</f>
        <v>#VALUE!</v>
      </c>
      <c r="D128" s="97"/>
      <c r="F128" s="92"/>
      <c r="G128" s="92"/>
      <c r="I128" s="97" t="str">
        <f t="shared" si="3"/>
        <v xml:space="preserve"> </v>
      </c>
      <c r="J128" s="91" t="str">
        <f>IF(OR(H128="",I128="",D128="",F128="",G128=""),"",CONCATENATE('План инф-ции (титул)'!$P$6,".",LEFT(H128,1),".",B128))</f>
        <v/>
      </c>
      <c r="K128" s="8"/>
      <c r="L128" s="97"/>
      <c r="M128" s="97"/>
      <c r="N128" s="97"/>
      <c r="O128" s="97"/>
      <c r="P128" s="97"/>
    </row>
    <row r="129">
      <c r="A129" s="91" t="e">
        <f t="shared" si="5"/>
        <v>#VALUE!</v>
      </c>
      <c r="B129" s="91" t="e">
        <f>IF(AND(A129=121,'План инф-ции (титул)'!$N$6&lt;&gt;""),"121П","121")</f>
        <v>#VALUE!</v>
      </c>
      <c r="D129" s="97"/>
      <c r="F129" s="92"/>
      <c r="G129" s="92"/>
      <c r="I129" s="97" t="str">
        <f t="shared" si="3"/>
        <v xml:space="preserve"> </v>
      </c>
      <c r="J129" s="91" t="str">
        <f>IF(OR(H129="",I129="",D129="",F129="",G129=""),"",CONCATENATE('План инф-ции (титул)'!$P$6,".",LEFT(H129,1),".",B129))</f>
        <v/>
      </c>
      <c r="K129" s="8"/>
      <c r="L129" s="97"/>
      <c r="M129" s="97"/>
      <c r="N129" s="97"/>
      <c r="O129" s="97"/>
      <c r="P129" s="97"/>
    </row>
    <row r="130">
      <c r="A130" s="91" t="e">
        <f t="shared" si="5"/>
        <v>#VALUE!</v>
      </c>
      <c r="B130" s="91" t="e">
        <f>IF(AND(A130=122,'План инф-ции (титул)'!$N$6&lt;&gt;""),"122П","122")</f>
        <v>#VALUE!</v>
      </c>
      <c r="D130" s="97"/>
      <c r="F130" s="92"/>
      <c r="G130" s="92"/>
      <c r="I130" s="97" t="str">
        <f t="shared" si="3"/>
        <v xml:space="preserve"> </v>
      </c>
      <c r="J130" s="91" t="str">
        <f>IF(OR(H130="",I130="",D130="",F130="",G130=""),"",CONCATENATE('План инф-ции (титул)'!$P$6,".",LEFT(H130,1),".",B130))</f>
        <v/>
      </c>
      <c r="K130" s="8"/>
      <c r="L130" s="97"/>
      <c r="M130" s="97"/>
      <c r="N130" s="97"/>
      <c r="O130" s="97"/>
      <c r="P130" s="97"/>
    </row>
    <row r="131">
      <c r="A131" s="91" t="e">
        <f t="shared" si="5"/>
        <v>#VALUE!</v>
      </c>
      <c r="B131" s="91" t="e">
        <f>IF(AND(A131=123,'План инф-ции (титул)'!$N$6&lt;&gt;""),"123П","123")</f>
        <v>#VALUE!</v>
      </c>
      <c r="D131" s="97"/>
      <c r="F131" s="92"/>
      <c r="G131" s="92"/>
      <c r="I131" s="97" t="str">
        <f t="shared" si="3"/>
        <v xml:space="preserve"> </v>
      </c>
      <c r="J131" s="91" t="str">
        <f>IF(OR(H131="",I131="",D131="",F131="",G131=""),"",CONCATENATE('План инф-ции (титул)'!$P$6,".",LEFT(H131,1),".",B131))</f>
        <v/>
      </c>
      <c r="K131" s="8"/>
      <c r="L131" s="97"/>
      <c r="M131" s="97"/>
      <c r="N131" s="97"/>
      <c r="O131" s="97"/>
      <c r="P131" s="97"/>
    </row>
    <row r="132">
      <c r="A132" s="91" t="e">
        <f t="shared" si="5"/>
        <v>#VALUE!</v>
      </c>
      <c r="B132" s="91" t="e">
        <f>IF(AND(A132=124,'План инф-ции (титул)'!$N$6&lt;&gt;""),"124П","124")</f>
        <v>#VALUE!</v>
      </c>
      <c r="D132" s="97"/>
      <c r="F132" s="92"/>
      <c r="G132" s="92"/>
      <c r="I132" s="97" t="str">
        <f t="shared" si="3"/>
        <v xml:space="preserve"> </v>
      </c>
      <c r="J132" s="91" t="str">
        <f>IF(OR(H132="",I132="",D132="",F132="",G132=""),"",CONCATENATE('План инф-ции (титул)'!$P$6,".",LEFT(H132,1),".",B132))</f>
        <v/>
      </c>
      <c r="K132" s="8"/>
      <c r="L132" s="97"/>
      <c r="M132" s="97"/>
      <c r="N132" s="97"/>
      <c r="O132" s="97"/>
      <c r="P132" s="97"/>
    </row>
    <row r="133">
      <c r="A133" s="91" t="e">
        <f t="shared" si="5"/>
        <v>#VALUE!</v>
      </c>
      <c r="B133" s="91" t="e">
        <f>IF(AND(A133=125,'План инф-ции (титул)'!$N$6&lt;&gt;""),"125П","125")</f>
        <v>#VALUE!</v>
      </c>
      <c r="D133" s="97"/>
      <c r="F133" s="92"/>
      <c r="G133" s="92"/>
      <c r="I133" s="97" t="str">
        <f t="shared" si="3"/>
        <v xml:space="preserve"> </v>
      </c>
      <c r="J133" s="91" t="str">
        <f>IF(OR(H133="",I133="",D133="",F133="",G133=""),"",CONCATENATE('План инф-ции (титул)'!$P$6,".",LEFT(H133,1),".",B133))</f>
        <v/>
      </c>
      <c r="K133" s="8"/>
      <c r="L133" s="97"/>
      <c r="M133" s="97"/>
      <c r="N133" s="97"/>
      <c r="O133" s="97"/>
      <c r="P133" s="97"/>
    </row>
    <row r="134">
      <c r="A134" s="91" t="e">
        <f t="shared" si="5"/>
        <v>#VALUE!</v>
      </c>
      <c r="B134" s="91" t="e">
        <f>IF(AND(A134=126,'План инф-ции (титул)'!$N$6&lt;&gt;""),"126П","126")</f>
        <v>#VALUE!</v>
      </c>
      <c r="D134" s="97"/>
      <c r="F134" s="92"/>
      <c r="G134" s="92"/>
      <c r="I134" s="97" t="str">
        <f t="shared" si="3"/>
        <v xml:space="preserve"> </v>
      </c>
      <c r="J134" s="91" t="str">
        <f>IF(OR(H134="",I134="",D134="",F134="",G134=""),"",CONCATENATE('План инф-ции (титул)'!$P$6,".",LEFT(H134,1),".",B134))</f>
        <v/>
      </c>
      <c r="K134" s="8"/>
      <c r="L134" s="97"/>
      <c r="M134" s="97"/>
      <c r="N134" s="97"/>
      <c r="O134" s="97"/>
      <c r="P134" s="97"/>
    </row>
    <row r="135">
      <c r="A135" s="91" t="e">
        <f t="shared" si="5"/>
        <v>#VALUE!</v>
      </c>
      <c r="B135" s="91" t="e">
        <f>IF(AND(A135=127,'План инф-ции (титул)'!$N$6&lt;&gt;""),"127П","127")</f>
        <v>#VALUE!</v>
      </c>
      <c r="D135" s="97"/>
      <c r="F135" s="92"/>
      <c r="G135" s="92"/>
      <c r="I135" s="97" t="str">
        <f t="shared" si="3"/>
        <v xml:space="preserve"> </v>
      </c>
      <c r="J135" s="91" t="str">
        <f>IF(OR(H135="",I135="",D135="",F135="",G135=""),"",CONCATENATE('План инф-ции (титул)'!$P$6,".",LEFT(H135,1),".",B135))</f>
        <v/>
      </c>
      <c r="K135" s="8"/>
      <c r="L135" s="97"/>
      <c r="M135" s="97"/>
      <c r="N135" s="97"/>
      <c r="O135" s="97"/>
      <c r="P135" s="97"/>
    </row>
    <row r="136">
      <c r="A136" s="91" t="e">
        <f t="shared" si="5"/>
        <v>#VALUE!</v>
      </c>
      <c r="B136" s="91" t="e">
        <f>IF(AND(A136=128,'План инф-ции (титул)'!$N$6&lt;&gt;""),"128П","128")</f>
        <v>#VALUE!</v>
      </c>
      <c r="D136" s="97"/>
      <c r="F136" s="92"/>
      <c r="G136" s="92"/>
      <c r="I136" s="97" t="str">
        <f t="shared" si="3"/>
        <v xml:space="preserve"> </v>
      </c>
      <c r="J136" s="91" t="str">
        <f>IF(OR(H136="",I136="",D136="",F136="",G136=""),"",CONCATENATE('План инф-ции (титул)'!$P$6,".",LEFT(H136,1),".",B136))</f>
        <v/>
      </c>
      <c r="K136" s="8"/>
      <c r="L136" s="97"/>
      <c r="M136" s="97"/>
      <c r="N136" s="97"/>
      <c r="O136" s="97"/>
      <c r="P136" s="97"/>
    </row>
    <row r="137">
      <c r="A137" s="91" t="e">
        <f t="shared" si="5"/>
        <v>#VALUE!</v>
      </c>
      <c r="B137" s="91" t="e">
        <f>IF(AND(A137=129,'План инф-ции (титул)'!$N$6&lt;&gt;""),"129П","129")</f>
        <v>#VALUE!</v>
      </c>
      <c r="D137" s="97"/>
      <c r="F137" s="92"/>
      <c r="G137" s="92"/>
      <c r="I137" s="97" t="str">
        <f t="shared" si="3"/>
        <v xml:space="preserve"> </v>
      </c>
      <c r="J137" s="91" t="str">
        <f>IF(OR(H137="",I137="",D137="",F137="",G137=""),"",CONCATENATE('План инф-ции (титул)'!$P$6,".",LEFT(H137,1),".",B137))</f>
        <v/>
      </c>
      <c r="K137" s="8"/>
      <c r="L137" s="97"/>
      <c r="M137" s="97"/>
      <c r="N137" s="97"/>
      <c r="O137" s="97"/>
      <c r="P137" s="97"/>
    </row>
    <row r="138">
      <c r="A138" s="91" t="e">
        <f t="shared" si="5"/>
        <v>#VALUE!</v>
      </c>
      <c r="B138" s="91" t="e">
        <f>IF(AND(A138=130,'План инф-ции (титул)'!$N$6&lt;&gt;""),"130П","130")</f>
        <v>#VALUE!</v>
      </c>
      <c r="D138" s="97"/>
      <c r="F138" s="92"/>
      <c r="G138" s="92"/>
      <c r="I138" s="97" t="str">
        <f t="shared" ref="I138:I180" si="6">CONCATENATE(H138," ",D138)</f>
        <v xml:space="preserve"> </v>
      </c>
      <c r="J138" s="91" t="str">
        <f>IF(OR(H138="",I138="",D138="",F138="",G138=""),"",CONCATENATE('План инф-ции (титул)'!$P$6,".",LEFT(H138,1),".",B138))</f>
        <v/>
      </c>
      <c r="K138" s="8"/>
      <c r="L138" s="97"/>
      <c r="M138" s="97"/>
      <c r="N138" s="97"/>
      <c r="O138" s="97"/>
      <c r="P138" s="97"/>
    </row>
    <row r="139">
      <c r="A139" s="91" t="e">
        <f t="shared" si="5"/>
        <v>#VALUE!</v>
      </c>
      <c r="B139" s="91" t="e">
        <f>IF(AND(A139=131,'План инф-ции (титул)'!$N$6&lt;&gt;""),"131П","131")</f>
        <v>#VALUE!</v>
      </c>
      <c r="D139" s="97"/>
      <c r="F139" s="92"/>
      <c r="G139" s="92"/>
      <c r="I139" s="97" t="str">
        <f t="shared" si="6"/>
        <v xml:space="preserve"> </v>
      </c>
      <c r="J139" s="91" t="str">
        <f>IF(OR(H139="",I139="",D139="",F139="",G139=""),"",CONCATENATE('План инф-ции (титул)'!$P$6,".",LEFT(H139,1),".",B139))</f>
        <v/>
      </c>
      <c r="K139" s="8"/>
      <c r="L139" s="97"/>
      <c r="M139" s="97"/>
      <c r="N139" s="97"/>
      <c r="O139" s="97"/>
      <c r="P139" s="97"/>
    </row>
    <row r="140">
      <c r="A140" s="91" t="e">
        <f t="shared" si="5"/>
        <v>#VALUE!</v>
      </c>
      <c r="B140" s="91" t="e">
        <f>IF(AND(A140=132,'План инф-ции (титул)'!$N$6&lt;&gt;""),"132П","132")</f>
        <v>#VALUE!</v>
      </c>
      <c r="D140" s="97"/>
      <c r="F140" s="92"/>
      <c r="G140" s="92"/>
      <c r="I140" s="97" t="str">
        <f t="shared" si="6"/>
        <v xml:space="preserve"> </v>
      </c>
      <c r="J140" s="91" t="str">
        <f>IF(OR(H140="",I140="",D140="",F140="",G140=""),"",CONCATENATE('План инф-ции (титул)'!$P$6,".",LEFT(H140,1),".",B140))</f>
        <v/>
      </c>
      <c r="K140" s="8"/>
      <c r="L140" s="97"/>
      <c r="M140" s="97"/>
      <c r="N140" s="97"/>
      <c r="O140" s="97"/>
      <c r="P140" s="97"/>
    </row>
    <row r="141">
      <c r="A141" s="91" t="e">
        <f t="shared" si="5"/>
        <v>#VALUE!</v>
      </c>
      <c r="B141" s="91" t="e">
        <f>IF(AND(A141=133,'План инф-ции (титул)'!$N$6&lt;&gt;""),"133П","133")</f>
        <v>#VALUE!</v>
      </c>
      <c r="D141" s="97"/>
      <c r="F141" s="92"/>
      <c r="G141" s="92"/>
      <c r="I141" s="97" t="str">
        <f t="shared" si="6"/>
        <v xml:space="preserve"> </v>
      </c>
      <c r="J141" s="91" t="str">
        <f>IF(OR(H141="",I141="",D141="",F141="",G141=""),"",CONCATENATE('План инф-ции (титул)'!$P$6,".",LEFT(H141,1),".",B141))</f>
        <v/>
      </c>
      <c r="K141" s="8"/>
      <c r="L141" s="97"/>
      <c r="M141" s="97"/>
      <c r="N141" s="97"/>
      <c r="O141" s="97"/>
      <c r="P141" s="97"/>
    </row>
    <row r="142">
      <c r="A142" s="91" t="e">
        <f t="shared" si="5"/>
        <v>#VALUE!</v>
      </c>
      <c r="B142" s="91" t="e">
        <f>IF(AND(A142=134,'План инф-ции (титул)'!$N$6&lt;&gt;""),"134П","134")</f>
        <v>#VALUE!</v>
      </c>
      <c r="D142" s="97"/>
      <c r="F142" s="92"/>
      <c r="G142" s="92"/>
      <c r="I142" s="97" t="str">
        <f t="shared" si="6"/>
        <v xml:space="preserve"> </v>
      </c>
      <c r="J142" s="91" t="str">
        <f>IF(OR(H142="",I142="",D142="",F142="",G142=""),"",CONCATENATE('План инф-ции (титул)'!$P$6,".",LEFT(H142,1),".",B142))</f>
        <v/>
      </c>
      <c r="K142" s="8"/>
      <c r="L142" s="97"/>
      <c r="M142" s="97"/>
      <c r="N142" s="97"/>
      <c r="O142" s="97"/>
      <c r="P142" s="97"/>
    </row>
    <row r="143">
      <c r="A143" s="91" t="e">
        <f t="shared" si="5"/>
        <v>#VALUE!</v>
      </c>
      <c r="B143" s="91" t="e">
        <f>IF(AND(A143=135,'План инф-ции (титул)'!$N$6&lt;&gt;""),"135П","135")</f>
        <v>#VALUE!</v>
      </c>
      <c r="D143" s="97"/>
      <c r="F143" s="92"/>
      <c r="G143" s="92"/>
      <c r="I143" s="97" t="str">
        <f t="shared" si="6"/>
        <v xml:space="preserve"> </v>
      </c>
      <c r="J143" s="91" t="str">
        <f>IF(OR(H143="",I143="",D143="",F143="",G143=""),"",CONCATENATE('План инф-ции (титул)'!$P$6,".",LEFT(H143,1),".",B143))</f>
        <v/>
      </c>
      <c r="K143" s="8"/>
      <c r="L143" s="97"/>
      <c r="M143" s="97"/>
      <c r="N143" s="97"/>
      <c r="O143" s="97"/>
      <c r="P143" s="97"/>
    </row>
    <row r="144">
      <c r="A144" s="91" t="e">
        <f t="shared" si="5"/>
        <v>#VALUE!</v>
      </c>
      <c r="B144" s="91" t="e">
        <f>IF(AND(A144=136,'План инф-ции (титул)'!$N$6&lt;&gt;""),"136П","136")</f>
        <v>#VALUE!</v>
      </c>
      <c r="D144" s="97"/>
      <c r="F144" s="92"/>
      <c r="G144" s="92"/>
      <c r="I144" s="97" t="str">
        <f t="shared" si="6"/>
        <v xml:space="preserve"> </v>
      </c>
      <c r="J144" s="91" t="str">
        <f>IF(OR(H144="",I144="",D144="",F144="",G144=""),"",CONCATENATE('План инф-ции (титул)'!$P$6,".",LEFT(H144,1),".",B144))</f>
        <v/>
      </c>
      <c r="K144" s="8"/>
      <c r="L144" s="97"/>
      <c r="M144" s="97"/>
      <c r="N144" s="97"/>
      <c r="O144" s="97"/>
      <c r="P144" s="97"/>
    </row>
    <row r="145">
      <c r="A145" s="91" t="e">
        <f t="shared" si="5"/>
        <v>#VALUE!</v>
      </c>
      <c r="B145" s="91" t="e">
        <f>IF(AND(A145=137,'План инф-ции (титул)'!$N$6&lt;&gt;""),"137П","137")</f>
        <v>#VALUE!</v>
      </c>
      <c r="D145" s="97"/>
      <c r="F145" s="92"/>
      <c r="G145" s="92"/>
      <c r="I145" s="97" t="str">
        <f t="shared" si="6"/>
        <v xml:space="preserve"> </v>
      </c>
      <c r="J145" s="91" t="str">
        <f>IF(OR(H145="",I145="",D145="",F145="",G145=""),"",CONCATENATE('План инф-ции (титул)'!$P$6,".",LEFT(H145,1),".",B145))</f>
        <v/>
      </c>
      <c r="K145" s="8"/>
      <c r="L145" s="97"/>
      <c r="M145" s="97"/>
      <c r="N145" s="97"/>
      <c r="O145" s="97"/>
      <c r="P145" s="97"/>
    </row>
    <row r="146">
      <c r="A146" s="91" t="e">
        <f t="shared" si="5"/>
        <v>#VALUE!</v>
      </c>
      <c r="B146" s="91" t="e">
        <f>IF(AND(A146=138,'План инф-ции (титул)'!$N$6&lt;&gt;""),"138П","138")</f>
        <v>#VALUE!</v>
      </c>
      <c r="D146" s="97"/>
      <c r="F146" s="92"/>
      <c r="G146" s="92"/>
      <c r="I146" s="97" t="str">
        <f t="shared" si="6"/>
        <v xml:space="preserve"> </v>
      </c>
      <c r="J146" s="91" t="str">
        <f>IF(OR(H146="",I146="",D146="",F146="",G146=""),"",CONCATENATE('План инф-ции (титул)'!$P$6,".",LEFT(H146,1),".",B146))</f>
        <v/>
      </c>
      <c r="K146" s="8"/>
      <c r="L146" s="97"/>
      <c r="M146" s="97"/>
      <c r="N146" s="97"/>
      <c r="O146" s="97"/>
      <c r="P146" s="97"/>
    </row>
    <row r="147">
      <c r="A147" s="91" t="e">
        <f t="shared" si="5"/>
        <v>#VALUE!</v>
      </c>
      <c r="B147" s="91" t="e">
        <f>IF(AND(A147=139,'План инф-ции (титул)'!$N$6&lt;&gt;""),"139П","139")</f>
        <v>#VALUE!</v>
      </c>
      <c r="D147" s="97"/>
      <c r="F147" s="92"/>
      <c r="G147" s="92"/>
      <c r="I147" s="97" t="str">
        <f t="shared" si="6"/>
        <v xml:space="preserve"> </v>
      </c>
      <c r="J147" s="91" t="str">
        <f>IF(OR(H147="",I147="",D147="",F147="",G147=""),"",CONCATENATE('План инф-ции (титул)'!$P$6,".",LEFT(H147,1),".",B147))</f>
        <v/>
      </c>
      <c r="K147" s="8"/>
      <c r="L147" s="97"/>
      <c r="M147" s="97"/>
      <c r="N147" s="97"/>
      <c r="O147" s="97"/>
      <c r="P147" s="97"/>
    </row>
    <row r="148">
      <c r="A148" s="91" t="e">
        <f t="shared" si="5"/>
        <v>#VALUE!</v>
      </c>
      <c r="B148" s="91" t="e">
        <f>IF(AND(A148=140,'План инф-ции (титул)'!$N$6&lt;&gt;""),"140П","140")</f>
        <v>#VALUE!</v>
      </c>
      <c r="D148" s="97"/>
      <c r="F148" s="92"/>
      <c r="G148" s="92"/>
      <c r="I148" s="97" t="str">
        <f t="shared" si="6"/>
        <v xml:space="preserve"> </v>
      </c>
      <c r="J148" s="91" t="str">
        <f>IF(OR(H148="",I148="",D148="",F148="",G148=""),"",CONCATENATE('План инф-ции (титул)'!$P$6,".",LEFT(H148,1),".",B148))</f>
        <v/>
      </c>
      <c r="K148" s="8"/>
      <c r="L148" s="97"/>
      <c r="M148" s="97"/>
      <c r="N148" s="97"/>
      <c r="O148" s="97"/>
      <c r="P148" s="97"/>
    </row>
    <row r="149">
      <c r="A149" s="91" t="e">
        <f t="shared" si="5"/>
        <v>#VALUE!</v>
      </c>
      <c r="B149" s="91" t="e">
        <f>IF(AND(A149=141,'План инф-ции (титул)'!$N$6&lt;&gt;""),"141П","141")</f>
        <v>#VALUE!</v>
      </c>
      <c r="D149" s="97"/>
      <c r="F149" s="92"/>
      <c r="G149" s="92"/>
      <c r="I149" s="97" t="str">
        <f t="shared" si="6"/>
        <v xml:space="preserve"> </v>
      </c>
      <c r="J149" s="91" t="str">
        <f>IF(OR(H149="",I149="",D149="",F149="",G149=""),"",CONCATENATE('План инф-ции (титул)'!$P$6,".",LEFT(H149,1),".",B149))</f>
        <v/>
      </c>
      <c r="K149" s="8"/>
      <c r="L149" s="97"/>
      <c r="M149" s="97"/>
      <c r="N149" s="97"/>
      <c r="O149" s="97"/>
      <c r="P149" s="97"/>
    </row>
    <row r="150">
      <c r="A150" s="91" t="e">
        <f t="shared" si="5"/>
        <v>#VALUE!</v>
      </c>
      <c r="B150" s="91" t="e">
        <f>IF(AND(A150=142,'План инф-ции (титул)'!$N$6&lt;&gt;""),"142П","142")</f>
        <v>#VALUE!</v>
      </c>
      <c r="D150" s="97"/>
      <c r="F150" s="92"/>
      <c r="G150" s="92"/>
      <c r="I150" s="97" t="str">
        <f t="shared" si="6"/>
        <v xml:space="preserve"> </v>
      </c>
      <c r="J150" s="91" t="str">
        <f>IF(OR(H150="",I150="",D150="",F150="",G150=""),"",CONCATENATE('План инф-ции (титул)'!$P$6,".",LEFT(H150,1),".",B150))</f>
        <v/>
      </c>
      <c r="K150" s="8"/>
      <c r="L150" s="97"/>
      <c r="M150" s="97"/>
      <c r="N150" s="97"/>
      <c r="O150" s="97"/>
      <c r="P150" s="97"/>
    </row>
    <row r="151">
      <c r="A151" s="91" t="e">
        <f t="shared" si="5"/>
        <v>#VALUE!</v>
      </c>
      <c r="B151" s="91" t="e">
        <f>IF(AND(A151=143,'План инф-ции (титул)'!$N$6&lt;&gt;""),"143П","143")</f>
        <v>#VALUE!</v>
      </c>
      <c r="D151" s="97"/>
      <c r="F151" s="92"/>
      <c r="G151" s="92"/>
      <c r="I151" s="97" t="str">
        <f t="shared" si="6"/>
        <v xml:space="preserve"> </v>
      </c>
      <c r="J151" s="91" t="str">
        <f>IF(OR(H151="",I151="",D151="",F151="",G151=""),"",CONCATENATE('План инф-ции (титул)'!$P$6,".",LEFT(H151,1),".",B151))</f>
        <v/>
      </c>
      <c r="K151" s="8"/>
      <c r="L151" s="97"/>
      <c r="M151" s="97"/>
      <c r="N151" s="97"/>
      <c r="O151" s="97"/>
      <c r="P151" s="97"/>
    </row>
    <row r="152">
      <c r="A152" s="91" t="e">
        <f t="shared" si="5"/>
        <v>#VALUE!</v>
      </c>
      <c r="B152" s="91" t="e">
        <f>IF(AND(A152=144,'План инф-ции (титул)'!$N$6&lt;&gt;""),"144П","144")</f>
        <v>#VALUE!</v>
      </c>
      <c r="D152" s="97"/>
      <c r="F152" s="92"/>
      <c r="G152" s="92"/>
      <c r="I152" s="97" t="str">
        <f t="shared" si="6"/>
        <v xml:space="preserve"> </v>
      </c>
      <c r="J152" s="91" t="str">
        <f>IF(OR(H152="",I152="",D152="",F152="",G152=""),"",CONCATENATE('План инф-ции (титул)'!$P$6,".",LEFT(H152,1),".",B152))</f>
        <v/>
      </c>
      <c r="K152" s="8"/>
      <c r="L152" s="97"/>
      <c r="M152" s="97"/>
      <c r="N152" s="97"/>
      <c r="O152" s="97"/>
      <c r="P152" s="97"/>
    </row>
    <row r="153">
      <c r="A153" s="91" t="e">
        <f t="shared" si="5"/>
        <v>#VALUE!</v>
      </c>
      <c r="B153" s="91" t="e">
        <f>IF(AND(A153=145,'План инф-ции (титул)'!$N$6&lt;&gt;""),"145П","145")</f>
        <v>#VALUE!</v>
      </c>
      <c r="D153" s="97"/>
      <c r="F153" s="92"/>
      <c r="G153" s="92"/>
      <c r="I153" s="97" t="str">
        <f t="shared" si="6"/>
        <v xml:space="preserve"> </v>
      </c>
      <c r="J153" s="91" t="str">
        <f>IF(OR(H153="",I153="",D153="",F153="",G153=""),"",CONCATENATE('План инф-ции (титул)'!$P$6,".",LEFT(H153,1),".",B153))</f>
        <v/>
      </c>
      <c r="K153" s="8"/>
      <c r="L153" s="97"/>
      <c r="M153" s="97"/>
      <c r="N153" s="97"/>
      <c r="O153" s="97"/>
      <c r="P153" s="97"/>
    </row>
    <row r="154">
      <c r="A154" s="91" t="e">
        <f t="shared" si="5"/>
        <v>#VALUE!</v>
      </c>
      <c r="B154" s="91" t="e">
        <f>IF(AND(A154=146,'План инф-ции (титул)'!$N$6&lt;&gt;""),"146П","146")</f>
        <v>#VALUE!</v>
      </c>
      <c r="D154" s="97"/>
      <c r="F154" s="92"/>
      <c r="G154" s="92"/>
      <c r="I154" s="97" t="str">
        <f t="shared" si="6"/>
        <v xml:space="preserve"> </v>
      </c>
      <c r="J154" s="91" t="str">
        <f>IF(OR(H154="",I154="",D154="",F154="",G154=""),"",CONCATENATE('План инф-ции (титул)'!$P$6,".",LEFT(H154,1),".",B154))</f>
        <v/>
      </c>
      <c r="K154" s="8"/>
      <c r="L154" s="97"/>
      <c r="M154" s="97"/>
      <c r="N154" s="97"/>
      <c r="O154" s="97"/>
      <c r="P154" s="97"/>
    </row>
    <row r="155">
      <c r="A155" s="91" t="e">
        <f t="shared" si="5"/>
        <v>#VALUE!</v>
      </c>
      <c r="B155" s="91" t="e">
        <f>IF(AND(A155=147,'План инф-ции (титул)'!$N$6&lt;&gt;""),"147П","147")</f>
        <v>#VALUE!</v>
      </c>
      <c r="D155" s="97"/>
      <c r="F155" s="92"/>
      <c r="G155" s="92"/>
      <c r="I155" s="97" t="str">
        <f t="shared" si="6"/>
        <v xml:space="preserve"> </v>
      </c>
      <c r="J155" s="91" t="str">
        <f>IF(OR(H155="",I155="",D155="",F155="",G155=""),"",CONCATENATE('План инф-ции (титул)'!$P$6,".",LEFT(H155,1),".",B155))</f>
        <v/>
      </c>
      <c r="K155" s="8"/>
      <c r="L155" s="97"/>
      <c r="M155" s="97"/>
      <c r="N155" s="97"/>
      <c r="O155" s="97"/>
      <c r="P155" s="97"/>
    </row>
    <row r="156">
      <c r="A156" s="91" t="e">
        <f t="shared" si="5"/>
        <v>#VALUE!</v>
      </c>
      <c r="B156" s="91" t="e">
        <f>IF(AND(A156=148,'План инф-ции (титул)'!$N$6&lt;&gt;""),"148П","148")</f>
        <v>#VALUE!</v>
      </c>
      <c r="D156" s="97"/>
      <c r="F156" s="92"/>
      <c r="G156" s="92"/>
      <c r="I156" s="97" t="str">
        <f t="shared" si="6"/>
        <v xml:space="preserve"> </v>
      </c>
      <c r="J156" s="91" t="str">
        <f>IF(OR(H156="",I156="",D156="",F156="",G156=""),"",CONCATENATE('План инф-ции (титул)'!$P$6,".",LEFT(H156,1),".",B156))</f>
        <v/>
      </c>
      <c r="K156" s="8"/>
      <c r="L156" s="97"/>
      <c r="M156" s="97"/>
      <c r="N156" s="97"/>
      <c r="O156" s="97"/>
      <c r="P156" s="97"/>
    </row>
    <row r="157">
      <c r="A157" s="91" t="e">
        <f t="shared" si="5"/>
        <v>#VALUE!</v>
      </c>
      <c r="B157" s="91" t="e">
        <f>IF(AND(A157=149,'План инф-ции (титул)'!$N$6&lt;&gt;""),"149П","149")</f>
        <v>#VALUE!</v>
      </c>
      <c r="D157" s="97"/>
      <c r="F157" s="92"/>
      <c r="G157" s="92"/>
      <c r="I157" s="97" t="str">
        <f t="shared" si="6"/>
        <v xml:space="preserve"> </v>
      </c>
      <c r="J157" s="91" t="str">
        <f>IF(OR(H157="",I157="",D157="",F157="",G157=""),"",CONCATENATE('План инф-ции (титул)'!$P$6,".",LEFT(H157,1),".",B157))</f>
        <v/>
      </c>
      <c r="K157" s="8"/>
      <c r="L157" s="97"/>
      <c r="M157" s="97"/>
      <c r="N157" s="97"/>
      <c r="O157" s="97"/>
      <c r="P157" s="97"/>
    </row>
    <row r="158">
      <c r="A158" s="91" t="e">
        <f t="shared" si="5"/>
        <v>#VALUE!</v>
      </c>
      <c r="B158" s="91" t="e">
        <f>IF(AND(A158=150,'План инф-ции (титул)'!$N$6&lt;&gt;""),"150П","150")</f>
        <v>#VALUE!</v>
      </c>
      <c r="D158" s="97"/>
      <c r="F158" s="92"/>
      <c r="G158" s="92"/>
      <c r="I158" s="97" t="str">
        <f t="shared" si="6"/>
        <v xml:space="preserve"> </v>
      </c>
      <c r="J158" s="91" t="str">
        <f>IF(OR(H158="",I158="",D158="",F158="",G158=""),"",CONCATENATE('План инф-ции (титул)'!$P$6,".",LEFT(H158,1),".",B158))</f>
        <v/>
      </c>
      <c r="K158" s="8"/>
      <c r="L158" s="97"/>
      <c r="M158" s="97"/>
      <c r="N158" s="97"/>
      <c r="O158" s="97"/>
      <c r="P158" s="97"/>
    </row>
    <row r="159">
      <c r="A159" s="91" t="e">
        <f t="shared" si="5"/>
        <v>#VALUE!</v>
      </c>
      <c r="B159" s="91" t="e">
        <f>IF(AND(A159=151,'План инф-ции (титул)'!$N$6&lt;&gt;""),"151П","151")</f>
        <v>#VALUE!</v>
      </c>
      <c r="D159" s="97"/>
      <c r="F159" s="92"/>
      <c r="G159" s="92"/>
      <c r="I159" s="97" t="str">
        <f t="shared" si="6"/>
        <v xml:space="preserve"> </v>
      </c>
      <c r="J159" s="91" t="str">
        <f>IF(OR(H159="",I159="",D159="",F159="",G159=""),"",CONCATENATE('План инф-ции (титул)'!$P$6,".",LEFT(H159,1),".",B159))</f>
        <v/>
      </c>
      <c r="K159" s="8"/>
      <c r="L159" s="97"/>
      <c r="M159" s="97"/>
      <c r="N159" s="97"/>
      <c r="O159" s="97"/>
      <c r="P159" s="97"/>
    </row>
    <row r="160">
      <c r="A160" s="91" t="e">
        <f t="shared" si="5"/>
        <v>#VALUE!</v>
      </c>
      <c r="B160" s="91" t="e">
        <f>IF(AND(A160=152,'План инф-ции (титул)'!$N$6&lt;&gt;""),"152П","152")</f>
        <v>#VALUE!</v>
      </c>
      <c r="D160" s="97"/>
      <c r="F160" s="92"/>
      <c r="G160" s="92"/>
      <c r="I160" s="97" t="str">
        <f t="shared" si="6"/>
        <v xml:space="preserve"> </v>
      </c>
      <c r="J160" s="91" t="str">
        <f>IF(OR(H160="",I160="",D160="",F160="",G160=""),"",CONCATENATE('План инф-ции (титул)'!$P$6,".",LEFT(H160,1),".",B160))</f>
        <v/>
      </c>
      <c r="K160" s="8"/>
      <c r="L160" s="97"/>
      <c r="M160" s="97"/>
      <c r="N160" s="97"/>
      <c r="O160" s="97"/>
      <c r="P160" s="97"/>
    </row>
    <row r="161">
      <c r="A161" s="91" t="e">
        <f t="shared" si="5"/>
        <v>#VALUE!</v>
      </c>
      <c r="B161" s="91" t="e">
        <f>IF(AND(A161=153,'План инф-ции (титул)'!$N$6&lt;&gt;""),"153П","153")</f>
        <v>#VALUE!</v>
      </c>
      <c r="D161" s="97"/>
      <c r="F161" s="92"/>
      <c r="G161" s="92"/>
      <c r="I161" s="97" t="str">
        <f t="shared" si="6"/>
        <v xml:space="preserve"> </v>
      </c>
      <c r="J161" s="91" t="str">
        <f>IF(OR(H161="",I161="",D161="",F161="",G161=""),"",CONCATENATE('План инф-ции (титул)'!$P$6,".",LEFT(H161,1),".",B161))</f>
        <v/>
      </c>
      <c r="K161" s="8"/>
      <c r="L161" s="97"/>
      <c r="M161" s="97"/>
      <c r="N161" s="97"/>
      <c r="O161" s="97"/>
      <c r="P161" s="97"/>
    </row>
    <row r="162">
      <c r="A162" s="91" t="e">
        <f t="shared" si="5"/>
        <v>#VALUE!</v>
      </c>
      <c r="B162" s="91" t="e">
        <f>IF(AND(A162=154,'План инф-ции (титул)'!$N$6&lt;&gt;""),"154П","154")</f>
        <v>#VALUE!</v>
      </c>
      <c r="D162" s="97"/>
      <c r="F162" s="92"/>
      <c r="G162" s="92"/>
      <c r="I162" s="97" t="str">
        <f t="shared" si="6"/>
        <v xml:space="preserve"> </v>
      </c>
      <c r="J162" s="91" t="str">
        <f>IF(OR(H162="",I162="",D162="",F162="",G162=""),"",CONCATENATE('План инф-ции (титул)'!$P$6,".",LEFT(H162,1),".",B162))</f>
        <v/>
      </c>
      <c r="K162" s="8"/>
      <c r="L162" s="97"/>
      <c r="M162" s="97"/>
      <c r="N162" s="97"/>
      <c r="O162" s="97"/>
      <c r="P162" s="97"/>
    </row>
    <row r="163">
      <c r="A163" s="91" t="e">
        <f t="shared" si="5"/>
        <v>#VALUE!</v>
      </c>
      <c r="B163" s="91" t="e">
        <f>IF(AND(A163=155,'План инф-ции (титул)'!$N$6&lt;&gt;""),"155П","155")</f>
        <v>#VALUE!</v>
      </c>
      <c r="D163" s="97"/>
      <c r="F163" s="92"/>
      <c r="G163" s="92"/>
      <c r="I163" s="97" t="str">
        <f t="shared" si="6"/>
        <v xml:space="preserve"> </v>
      </c>
      <c r="J163" s="91" t="str">
        <f>IF(OR(H163="",I163="",D163="",F163="",G163=""),"",CONCATENATE('План инф-ции (титул)'!$P$6,".",LEFT(H163,1),".",B163))</f>
        <v/>
      </c>
      <c r="K163" s="8"/>
      <c r="L163" s="97"/>
      <c r="M163" s="97"/>
      <c r="N163" s="97"/>
      <c r="O163" s="97"/>
      <c r="P163" s="97"/>
    </row>
    <row r="164">
      <c r="A164" s="91" t="e">
        <f t="shared" si="5"/>
        <v>#VALUE!</v>
      </c>
      <c r="B164" s="91" t="e">
        <f>IF(AND(A164=156,'План инф-ции (титул)'!$N$6&lt;&gt;""),"156П","156")</f>
        <v>#VALUE!</v>
      </c>
      <c r="D164" s="97"/>
      <c r="F164" s="92"/>
      <c r="G164" s="92"/>
      <c r="I164" s="97" t="str">
        <f t="shared" si="6"/>
        <v xml:space="preserve"> </v>
      </c>
      <c r="J164" s="91" t="str">
        <f>IF(OR(H164="",I164="",D164="",F164="",G164=""),"",CONCATENATE('План инф-ции (титул)'!$P$6,".",LEFT(H164,1),".",B164))</f>
        <v/>
      </c>
      <c r="K164" s="8"/>
      <c r="L164" s="97"/>
      <c r="M164" s="97"/>
      <c r="N164" s="97"/>
      <c r="O164" s="97"/>
      <c r="P164" s="97"/>
    </row>
    <row r="165">
      <c r="A165" s="91" t="e">
        <f t="shared" si="5"/>
        <v>#VALUE!</v>
      </c>
      <c r="B165" s="91" t="e">
        <f>IF(AND(A165=157,'План инф-ции (титул)'!$N$6&lt;&gt;""),"157П","157")</f>
        <v>#VALUE!</v>
      </c>
      <c r="D165" s="97"/>
      <c r="F165" s="92"/>
      <c r="G165" s="92"/>
      <c r="I165" s="97" t="str">
        <f t="shared" si="6"/>
        <v xml:space="preserve"> </v>
      </c>
      <c r="J165" s="91" t="str">
        <f>IF(OR(H165="",I165="",D165="",F165="",G165=""),"",CONCATENATE('План инф-ции (титул)'!$P$6,".",LEFT(H165,1),".",B165))</f>
        <v/>
      </c>
      <c r="K165" s="8"/>
      <c r="L165" s="97"/>
      <c r="M165" s="97"/>
      <c r="N165" s="97"/>
      <c r="O165" s="97"/>
      <c r="P165" s="97"/>
    </row>
    <row r="166">
      <c r="A166" s="91" t="e">
        <f t="shared" si="5"/>
        <v>#VALUE!</v>
      </c>
      <c r="B166" s="91" t="e">
        <f>IF(AND(A166=158,'План инф-ции (титул)'!$N$6&lt;&gt;""),"158П","158")</f>
        <v>#VALUE!</v>
      </c>
      <c r="D166" s="97"/>
      <c r="F166" s="92"/>
      <c r="G166" s="92"/>
      <c r="I166" s="97" t="str">
        <f t="shared" si="6"/>
        <v xml:space="preserve"> </v>
      </c>
      <c r="J166" s="91" t="str">
        <f>IF(OR(H166="",I166="",D166="",F166="",G166=""),"",CONCATENATE('План инф-ции (титул)'!$P$6,".",LEFT(H166,1),".",B166))</f>
        <v/>
      </c>
      <c r="K166" s="8"/>
      <c r="L166" s="97"/>
      <c r="M166" s="97"/>
      <c r="N166" s="97"/>
      <c r="O166" s="97"/>
      <c r="P166" s="97"/>
    </row>
    <row r="167">
      <c r="A167" s="91" t="e">
        <f t="shared" si="5"/>
        <v>#VALUE!</v>
      </c>
      <c r="B167" s="91" t="e">
        <f>IF(AND(A167=159,'План инф-ции (титул)'!$N$6&lt;&gt;""),"159П","159")</f>
        <v>#VALUE!</v>
      </c>
      <c r="D167" s="97"/>
      <c r="F167" s="92"/>
      <c r="G167" s="92"/>
      <c r="I167" s="97" t="str">
        <f t="shared" si="6"/>
        <v xml:space="preserve"> </v>
      </c>
      <c r="J167" s="91" t="str">
        <f>IF(OR(H167="",I167="",D167="",F167="",G167=""),"",CONCATENATE('План инф-ции (титул)'!$P$6,".",LEFT(H167,1),".",B167))</f>
        <v/>
      </c>
      <c r="K167" s="8"/>
      <c r="L167" s="97"/>
      <c r="M167" s="97"/>
      <c r="N167" s="97"/>
      <c r="O167" s="97"/>
      <c r="P167" s="97"/>
    </row>
    <row r="168">
      <c r="A168" s="91" t="e">
        <f t="shared" si="5"/>
        <v>#VALUE!</v>
      </c>
      <c r="B168" s="91" t="e">
        <f>IF(AND(A168=160,'План инф-ции (титул)'!$N$6&lt;&gt;""),"160П","160")</f>
        <v>#VALUE!</v>
      </c>
      <c r="D168" s="97"/>
      <c r="F168" s="92"/>
      <c r="G168" s="92"/>
      <c r="I168" s="97" t="str">
        <f t="shared" si="6"/>
        <v xml:space="preserve"> </v>
      </c>
      <c r="J168" s="91" t="str">
        <f>IF(OR(H168="",I168="",D168="",F168="",G168=""),"",CONCATENATE('План инф-ции (титул)'!$P$6,".",LEFT(H168,1),".",B168))</f>
        <v/>
      </c>
      <c r="K168" s="8"/>
      <c r="L168" s="97"/>
      <c r="M168" s="97"/>
      <c r="N168" s="97"/>
      <c r="O168" s="97"/>
      <c r="P168" s="97"/>
    </row>
    <row r="169">
      <c r="A169" s="91" t="e">
        <f t="shared" si="5"/>
        <v>#VALUE!</v>
      </c>
      <c r="B169" s="91" t="e">
        <f>IF(AND(A169=161,'План инф-ции (титул)'!$N$6&lt;&gt;""),"161П","161")</f>
        <v>#VALUE!</v>
      </c>
      <c r="D169" s="97"/>
      <c r="F169" s="92"/>
      <c r="G169" s="92"/>
      <c r="I169" s="97" t="str">
        <f t="shared" si="6"/>
        <v xml:space="preserve"> </v>
      </c>
      <c r="J169" s="91" t="str">
        <f>IF(OR(H169="",I169="",D169="",F169="",G169=""),"",CONCATENATE('План инф-ции (титул)'!$P$6,".",LEFT(H169,1),".",B169))</f>
        <v/>
      </c>
      <c r="K169" s="8"/>
      <c r="L169" s="97"/>
      <c r="M169" s="97"/>
      <c r="N169" s="97"/>
      <c r="O169" s="97"/>
      <c r="P169" s="97"/>
    </row>
    <row r="170">
      <c r="A170" s="91" t="e">
        <f t="shared" si="5"/>
        <v>#VALUE!</v>
      </c>
      <c r="B170" s="91" t="e">
        <f>IF(AND(A170=162,'План инф-ции (титул)'!$N$6&lt;&gt;""),"162П","162")</f>
        <v>#VALUE!</v>
      </c>
      <c r="D170" s="97"/>
      <c r="F170" s="92"/>
      <c r="G170" s="92"/>
      <c r="I170" s="97" t="str">
        <f t="shared" si="6"/>
        <v xml:space="preserve"> </v>
      </c>
      <c r="J170" s="91" t="str">
        <f>IF(OR(H170="",I170="",D170="",F170="",G170=""),"",CONCATENATE('План инф-ции (титул)'!$P$6,".",LEFT(H170,1),".",B170))</f>
        <v/>
      </c>
      <c r="K170" s="8"/>
      <c r="L170" s="97"/>
      <c r="M170" s="97"/>
      <c r="N170" s="97"/>
      <c r="O170" s="97"/>
      <c r="P170" s="97"/>
    </row>
    <row r="171">
      <c r="A171" s="91" t="e">
        <f t="shared" si="5"/>
        <v>#VALUE!</v>
      </c>
      <c r="B171" s="91" t="e">
        <f>IF(AND(A171=163,'План инф-ции (титул)'!$N$6&lt;&gt;""),"163П","163")</f>
        <v>#VALUE!</v>
      </c>
      <c r="D171" s="97"/>
      <c r="F171" s="92"/>
      <c r="G171" s="92"/>
      <c r="I171" s="97" t="str">
        <f t="shared" si="6"/>
        <v xml:space="preserve"> </v>
      </c>
      <c r="J171" s="91" t="str">
        <f>IF(OR(H171="",I171="",D171="",F171="",G171=""),"",CONCATENATE('План инф-ции (титул)'!$P$6,".",LEFT(H171,1),".",B171))</f>
        <v/>
      </c>
      <c r="K171" s="8"/>
      <c r="L171" s="97"/>
      <c r="M171" s="97"/>
      <c r="N171" s="97"/>
      <c r="O171" s="97"/>
      <c r="P171" s="97"/>
    </row>
    <row r="172">
      <c r="A172" s="91" t="e">
        <f t="shared" si="5"/>
        <v>#VALUE!</v>
      </c>
      <c r="B172" s="91" t="e">
        <f>IF(AND(A172=164,'План инф-ции (титул)'!$N$6&lt;&gt;""),"164П","164")</f>
        <v>#VALUE!</v>
      </c>
      <c r="D172" s="97"/>
      <c r="F172" s="92"/>
      <c r="G172" s="92"/>
      <c r="I172" s="97" t="str">
        <f t="shared" si="6"/>
        <v xml:space="preserve"> </v>
      </c>
      <c r="J172" s="91" t="str">
        <f>IF(OR(H172="",I172="",D172="",F172="",G172=""),"",CONCATENATE('План инф-ции (титул)'!$P$6,".",LEFT(H172,1),".",B172))</f>
        <v/>
      </c>
      <c r="K172" s="8"/>
      <c r="L172" s="97"/>
      <c r="M172" s="97"/>
      <c r="N172" s="97"/>
      <c r="O172" s="97"/>
      <c r="P172" s="97"/>
    </row>
    <row r="173">
      <c r="A173" s="91" t="e">
        <f t="shared" si="5"/>
        <v>#VALUE!</v>
      </c>
      <c r="B173" s="91" t="e">
        <f>IF(AND(A173=165,'План инф-ции (титул)'!$N$6&lt;&gt;""),"165П","165")</f>
        <v>#VALUE!</v>
      </c>
      <c r="D173" s="97"/>
      <c r="F173" s="92"/>
      <c r="G173" s="92"/>
      <c r="I173" s="97" t="str">
        <f t="shared" si="6"/>
        <v xml:space="preserve"> </v>
      </c>
      <c r="J173" s="91" t="str">
        <f>IF(OR(H173="",I173="",D173="",F173="",G173=""),"",CONCATENATE('План инф-ции (титул)'!$P$6,".",LEFT(H173,1),".",B173))</f>
        <v/>
      </c>
      <c r="K173" s="8"/>
      <c r="L173" s="97"/>
      <c r="M173" s="97"/>
      <c r="N173" s="97"/>
      <c r="O173" s="97"/>
      <c r="P173" s="97"/>
    </row>
    <row r="174">
      <c r="A174" s="91" t="e">
        <f t="shared" ref="A174:A180" si="7">IF(I174="","",A173+1)</f>
        <v>#VALUE!</v>
      </c>
      <c r="B174" s="91" t="e">
        <f>IF(AND(A174=166,'План инф-ции (титул)'!$N$6&lt;&gt;""),"166П","166")</f>
        <v>#VALUE!</v>
      </c>
      <c r="D174" s="97"/>
      <c r="F174" s="92"/>
      <c r="G174" s="92"/>
      <c r="I174" s="97" t="str">
        <f t="shared" si="6"/>
        <v xml:space="preserve"> </v>
      </c>
      <c r="J174" s="91" t="str">
        <f>IF(OR(H174="",I174="",D174="",F174="",G174=""),"",CONCATENATE('План инф-ции (титул)'!$P$6,".",LEFT(H174,1),".",B174))</f>
        <v/>
      </c>
      <c r="K174" s="8"/>
      <c r="L174" s="97"/>
      <c r="M174" s="97"/>
      <c r="N174" s="97"/>
      <c r="O174" s="97"/>
      <c r="P174" s="97"/>
    </row>
    <row r="175">
      <c r="A175" s="91" t="e">
        <f t="shared" si="7"/>
        <v>#VALUE!</v>
      </c>
      <c r="B175" s="91" t="e">
        <f>IF(AND(A175=167,'План инф-ции (титул)'!$N$6&lt;&gt;""),"167П","167")</f>
        <v>#VALUE!</v>
      </c>
      <c r="D175" s="97"/>
      <c r="F175" s="92"/>
      <c r="G175" s="92"/>
      <c r="I175" s="97" t="str">
        <f t="shared" si="6"/>
        <v xml:space="preserve"> </v>
      </c>
      <c r="J175" s="91" t="str">
        <f>IF(OR(H175="",I175="",D175="",F175="",G175=""),"",CONCATENATE('План инф-ции (титул)'!$P$6,".",LEFT(H175,1),".",B175))</f>
        <v/>
      </c>
      <c r="K175" s="8"/>
      <c r="L175" s="97"/>
      <c r="M175" s="97"/>
      <c r="N175" s="97"/>
      <c r="O175" s="97"/>
      <c r="P175" s="97"/>
    </row>
    <row r="176">
      <c r="A176" s="91" t="e">
        <f t="shared" si="7"/>
        <v>#VALUE!</v>
      </c>
      <c r="B176" s="91" t="e">
        <f>IF(AND(A176=168,'План инф-ции (титул)'!$N$6&lt;&gt;""),"168П","168")</f>
        <v>#VALUE!</v>
      </c>
      <c r="D176" s="97"/>
      <c r="F176" s="92"/>
      <c r="G176" s="92"/>
      <c r="I176" s="97" t="str">
        <f t="shared" si="6"/>
        <v xml:space="preserve"> </v>
      </c>
      <c r="J176" s="91" t="str">
        <f>IF(OR(H176="",I176="",D176="",F176="",G176=""),"",CONCATENATE('План инф-ции (титул)'!$P$6,".",LEFT(H176,1),".",B176))</f>
        <v/>
      </c>
      <c r="K176" s="8"/>
      <c r="L176" s="97"/>
      <c r="M176" s="97"/>
      <c r="N176" s="97"/>
      <c r="O176" s="97"/>
      <c r="P176" s="97"/>
    </row>
    <row r="177">
      <c r="A177" s="91" t="e">
        <f t="shared" si="7"/>
        <v>#VALUE!</v>
      </c>
      <c r="B177" s="91" t="e">
        <f>IF(AND(A177=169,'План инф-ции (титул)'!$N$6&lt;&gt;""),"169П","169")</f>
        <v>#VALUE!</v>
      </c>
      <c r="D177" s="97"/>
      <c r="F177" s="92"/>
      <c r="G177" s="92"/>
      <c r="I177" s="97" t="str">
        <f t="shared" si="6"/>
        <v xml:space="preserve"> </v>
      </c>
      <c r="J177" s="91" t="str">
        <f>IF(OR(H177="",I177="",D177="",F177="",G177=""),"",CONCATENATE('План инф-ции (титул)'!$P$6,".",LEFT(H177,1),".",B177))</f>
        <v/>
      </c>
      <c r="K177" s="8"/>
      <c r="L177" s="97"/>
      <c r="M177" s="97"/>
      <c r="N177" s="97"/>
      <c r="O177" s="97"/>
      <c r="P177" s="97"/>
    </row>
    <row r="178">
      <c r="A178" s="91" t="e">
        <f t="shared" si="7"/>
        <v>#VALUE!</v>
      </c>
      <c r="B178" s="91" t="e">
        <f>IF(AND(A178=170,'План инф-ции (титул)'!$N$6&lt;&gt;""),"170П","170")</f>
        <v>#VALUE!</v>
      </c>
      <c r="D178" s="97"/>
      <c r="F178" s="92"/>
      <c r="G178" s="92"/>
      <c r="I178" s="97" t="str">
        <f t="shared" si="6"/>
        <v xml:space="preserve"> </v>
      </c>
      <c r="J178" s="91" t="str">
        <f>IF(OR(H178="",I178="",D178="",F178="",G178=""),"",CONCATENATE('План инф-ции (титул)'!$P$6,".",LEFT(H178,1),".",B178))</f>
        <v/>
      </c>
      <c r="K178" s="8"/>
      <c r="L178" s="97"/>
      <c r="M178" s="97"/>
      <c r="N178" s="97"/>
      <c r="O178" s="97"/>
      <c r="P178" s="97"/>
    </row>
    <row r="179">
      <c r="A179" s="91" t="e">
        <f t="shared" si="7"/>
        <v>#VALUE!</v>
      </c>
      <c r="B179" s="91" t="e">
        <f>IF(AND(A179=171,'План инф-ции (титул)'!$N$6&lt;&gt;""),"171П","171")</f>
        <v>#VALUE!</v>
      </c>
      <c r="F179" s="92"/>
      <c r="G179" s="92"/>
      <c r="I179" s="91" t="str">
        <f t="shared" si="6"/>
        <v xml:space="preserve"> </v>
      </c>
      <c r="K179" s="8"/>
    </row>
    <row r="180" s="129" customFormat="1">
      <c r="A180" s="91" t="e">
        <f t="shared" si="7"/>
        <v>#VALUE!</v>
      </c>
      <c r="B180" s="91" t="e">
        <f>IF(AND(A180=172,'План инф-ции (титул)'!$N$6&lt;&gt;""),"172П","172")</f>
        <v>#VALUE!</v>
      </c>
      <c r="D180" s="130"/>
      <c r="G180" s="131"/>
      <c r="I180" s="130" t="str">
        <f t="shared" si="6"/>
        <v xml:space="preserve"> </v>
      </c>
      <c r="J180" s="129" t="str">
        <f>IF(OR(H180="",I180="",D180="",F180="",G180=""),"",CONCATENATE('План инф-ции (титул)'!$P$6,".",LEFT(H180,1),".",B180))</f>
        <v/>
      </c>
      <c r="K180" s="132"/>
      <c r="L180" s="130"/>
      <c r="M180" s="130"/>
      <c r="N180" s="130"/>
      <c r="O180" s="130"/>
      <c r="P180" s="130"/>
    </row>
    <row r="182" ht="21">
      <c r="D182" s="133" t="s">
        <v>231</v>
      </c>
      <c r="E182" s="133"/>
      <c r="F182" s="133"/>
      <c r="G182" s="133"/>
      <c r="H182" s="133"/>
      <c r="I182" s="133"/>
      <c r="J182" s="133"/>
      <c r="K182" s="133"/>
    </row>
    <row r="183" ht="21">
      <c r="D183" s="134" t="s">
        <v>232</v>
      </c>
      <c r="E183" s="134"/>
      <c r="F183" s="134"/>
      <c r="G183" s="134"/>
      <c r="H183" s="134"/>
      <c r="I183" s="134"/>
      <c r="J183" s="134"/>
      <c r="K183" s="134"/>
    </row>
  </sheetData>
  <mergeCells count="5">
    <mergeCell ref="C2:P2"/>
    <mergeCell ref="C3:P3"/>
    <mergeCell ref="C4:P4"/>
    <mergeCell ref="D182:K182"/>
    <mergeCell ref="D183:K183"/>
  </mergeCells>
  <dataValidations count="5" disablePrompts="0">
    <dataValidation sqref="K7" type="list" allowBlank="1" errorStyle="stop" imeMode="noControl" operator="between" showDropDown="0" showErrorMessage="1" showInputMessage="1">
      <formula1>Справочники!$E$3:$E$9</formula1>
    </dataValidation>
    <dataValidation sqref="H15:H180 H7:H13" type="list" allowBlank="1" errorStyle="stop" imeMode="noControl" operator="between" showDropDown="0" showErrorMessage="1" showInputMessage="1">
      <formula1>Справочники!$B$38:$B$42</formula1>
    </dataValidation>
    <dataValidation sqref="F15:G180 F7:G13" type="list" allowBlank="1" errorStyle="stop" imeMode="noControl" operator="between" showDropDown="0" showErrorMessage="1" showInputMessage="1">
      <formula1>Справочники!$C$33:$C$38</formula1>
    </dataValidation>
    <dataValidation sqref="K8:K13 K15:K180" type="list" allowBlank="1" errorStyle="stop" imeMode="noControl" operator="between" showDropDown="0" showErrorMessage="1" showInputMessage="1">
      <formula1>Справочники!$E$2:$E$9</formula1>
    </dataValidation>
    <dataValidation sqref="F14:H14 K14" type="list" allowBlank="1" errorStyle="stop" imeMode="noControl" operator="between" showDropDown="0" showErrorMessage="1" showInputMessage="1">
      <formula1>'C:\Users\tvbu\Desktop\Рабочая (Буркина)\План информатизации\Комитет по делам архивов\[КДА План информатизации 29.01.2021.xlsx]Справочники'!#REF!</formula1>
    </dataValidation>
  </dataValidations>
  <printOptions headings="0" gridLines="0"/>
  <pageMargins left="0.70866141732283472" right="0.23622047244094491" top="0.47244094488188981" bottom="0.47244094488188981" header="0.31496062992125984" footer="0.31496062992125984"/>
  <pageSetup paperSize="9" scale="14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6">
    <outlinePr applyStyles="0" summaryBelow="1" summaryRight="1" showOutlineSymbols="1"/>
    <pageSetUpPr autoPageBreaks="1" fitToPage="0"/>
  </sheetPr>
  <sheetViews>
    <sheetView view="pageBreakPreview" zoomScale="60" workbookViewId="0">
      <selection activeCell="B39" activeCellId="0" sqref="B39"/>
    </sheetView>
  </sheetViews>
  <sheetFormatPr defaultRowHeight="14.25"/>
  <cols>
    <col customWidth="1" min="1" max="1" width="40.140625"/>
    <col customWidth="1" min="2" max="2" width="22.7109375"/>
    <col customWidth="1" min="3" max="3" width="50.5703125"/>
    <col customWidth="1" min="4" max="4" width="1.28515625"/>
    <col customWidth="1" min="5" max="5" width="23.5703125"/>
    <col customWidth="1" min="6" max="6" width="44.28515625"/>
    <col customWidth="1" min="7" max="7" width="26"/>
  </cols>
  <sheetData>
    <row r="1" ht="15">
      <c r="A1" s="135"/>
      <c r="B1" s="135"/>
      <c r="C1" s="135"/>
      <c r="D1" s="135"/>
      <c r="E1" s="135"/>
      <c r="F1" s="135"/>
      <c r="G1" s="135"/>
    </row>
    <row r="2" ht="15">
      <c r="A2" s="136" t="s">
        <v>233</v>
      </c>
      <c r="B2" s="136"/>
      <c r="C2" s="136"/>
      <c r="D2" s="136"/>
      <c r="E2" s="136"/>
      <c r="F2" s="136"/>
      <c r="G2" s="136"/>
    </row>
    <row r="3" ht="15">
      <c r="A3" s="136" t="s">
        <v>234</v>
      </c>
      <c r="B3" s="136"/>
      <c r="C3" s="136"/>
      <c r="D3" s="136"/>
      <c r="E3" s="136"/>
      <c r="F3" s="136"/>
      <c r="G3" s="136"/>
    </row>
    <row r="4" ht="16.5" customHeight="1">
      <c r="A4" s="135"/>
      <c r="B4" s="135"/>
      <c r="C4" s="135"/>
      <c r="D4" s="135"/>
      <c r="E4" s="135"/>
      <c r="F4" s="135"/>
      <c r="G4" s="135"/>
    </row>
    <row r="5" ht="12.75" customHeight="1">
      <c r="A5" s="135"/>
      <c r="B5" s="135"/>
      <c r="C5" s="135"/>
      <c r="D5" s="135"/>
      <c r="E5" s="135"/>
      <c r="F5" s="135"/>
      <c r="G5" s="135"/>
    </row>
    <row r="6" ht="60">
      <c r="A6" s="137" t="s">
        <v>235</v>
      </c>
      <c r="B6" s="138" t="s">
        <v>236</v>
      </c>
      <c r="C6" s="138" t="s">
        <v>237</v>
      </c>
      <c r="D6" s="139"/>
      <c r="E6" s="138" t="s">
        <v>238</v>
      </c>
      <c r="F6" s="138" t="s">
        <v>239</v>
      </c>
      <c r="G6" s="140" t="s">
        <v>240</v>
      </c>
    </row>
    <row r="7">
      <c r="A7" s="92"/>
      <c r="B7" s="141"/>
      <c r="C7" s="141"/>
      <c r="D7" s="142"/>
      <c r="E7" s="141"/>
      <c r="F7" s="141"/>
      <c r="G7" s="141"/>
    </row>
    <row r="8">
      <c r="A8" s="92"/>
      <c r="B8" s="141"/>
      <c r="C8" s="141"/>
      <c r="D8" s="142"/>
      <c r="E8" s="141"/>
      <c r="F8" s="141"/>
      <c r="G8" s="141"/>
    </row>
    <row r="9">
      <c r="A9" s="92"/>
      <c r="B9" s="141"/>
      <c r="C9" s="141"/>
      <c r="D9" s="142"/>
      <c r="E9" s="141"/>
      <c r="F9" s="141"/>
      <c r="G9" s="141"/>
    </row>
    <row r="10">
      <c r="A10" s="92"/>
      <c r="B10" s="141"/>
      <c r="C10" s="141"/>
      <c r="D10" s="142"/>
      <c r="E10" s="141"/>
      <c r="F10" s="141"/>
      <c r="G10" s="141"/>
    </row>
    <row r="11">
      <c r="A11" s="92"/>
      <c r="B11" s="141"/>
      <c r="C11" s="141"/>
      <c r="D11" s="142"/>
      <c r="E11" s="141"/>
      <c r="F11" s="141"/>
      <c r="G11" s="141"/>
    </row>
    <row r="12">
      <c r="A12" s="92"/>
      <c r="B12" s="141"/>
      <c r="C12" s="141"/>
      <c r="D12" s="142"/>
      <c r="E12" s="141"/>
      <c r="F12" s="141"/>
      <c r="G12" s="141"/>
    </row>
    <row r="13">
      <c r="A13" s="92"/>
      <c r="B13" s="141"/>
      <c r="C13" s="141"/>
      <c r="D13" s="142"/>
      <c r="E13" s="141"/>
      <c r="F13" s="141"/>
      <c r="G13" s="141"/>
    </row>
    <row r="14">
      <c r="A14" s="92"/>
      <c r="B14" s="141"/>
      <c r="C14" s="141"/>
      <c r="D14" s="142"/>
      <c r="E14" s="141"/>
      <c r="F14" s="141"/>
      <c r="G14" s="141"/>
    </row>
    <row r="15">
      <c r="A15" s="92"/>
      <c r="B15" s="141"/>
      <c r="C15" s="141"/>
      <c r="D15" s="142"/>
      <c r="E15" s="141"/>
      <c r="F15" s="141"/>
      <c r="G15" s="141"/>
    </row>
    <row r="16">
      <c r="A16" s="92"/>
      <c r="B16" s="141"/>
      <c r="C16" s="141"/>
      <c r="D16" s="142"/>
      <c r="E16" s="141"/>
      <c r="F16" s="141"/>
      <c r="G16" s="141"/>
    </row>
    <row r="17">
      <c r="A17" s="92"/>
      <c r="B17" s="141"/>
      <c r="C17" s="141"/>
      <c r="D17" s="142"/>
      <c r="E17" s="141"/>
      <c r="F17" s="141"/>
      <c r="G17" s="141"/>
    </row>
    <row r="18">
      <c r="A18" s="92"/>
      <c r="B18" s="141"/>
      <c r="C18" s="141"/>
      <c r="D18" s="142"/>
      <c r="E18" s="141"/>
      <c r="F18" s="141"/>
      <c r="G18" s="141"/>
    </row>
    <row r="19">
      <c r="A19" s="92"/>
      <c r="B19" s="141"/>
      <c r="C19" s="141"/>
      <c r="D19" s="142"/>
      <c r="E19" s="141"/>
      <c r="F19" s="141"/>
      <c r="G19" s="141"/>
    </row>
    <row r="20">
      <c r="A20" s="92"/>
      <c r="B20" s="141"/>
      <c r="C20" s="141"/>
      <c r="D20" s="142"/>
      <c r="E20" s="141"/>
      <c r="F20" s="141"/>
      <c r="G20" s="141"/>
    </row>
    <row r="21">
      <c r="A21" s="92"/>
      <c r="B21" s="141"/>
      <c r="C21" s="141"/>
      <c r="D21" s="142"/>
      <c r="E21" s="141"/>
      <c r="F21" s="141"/>
      <c r="G21" s="141"/>
    </row>
    <row r="22">
      <c r="A22" s="92"/>
      <c r="B22" s="141"/>
      <c r="C22" s="141"/>
      <c r="D22" s="142"/>
      <c r="E22" s="141"/>
      <c r="F22" s="141"/>
      <c r="G22" s="141"/>
    </row>
    <row r="23">
      <c r="A23" s="92"/>
      <c r="B23" s="141"/>
      <c r="C23" s="141"/>
      <c r="D23" s="142"/>
      <c r="E23" s="141"/>
      <c r="F23" s="141"/>
      <c r="G23" s="141"/>
    </row>
    <row r="24">
      <c r="A24" s="92"/>
      <c r="B24" s="141"/>
      <c r="C24" s="141"/>
      <c r="D24" s="142"/>
      <c r="E24" s="141"/>
      <c r="F24" s="141"/>
      <c r="G24" s="141"/>
    </row>
    <row r="25">
      <c r="A25" s="92"/>
      <c r="B25" s="141"/>
      <c r="C25" s="141"/>
      <c r="D25" s="142"/>
      <c r="E25" s="141"/>
      <c r="F25" s="141"/>
      <c r="G25" s="141"/>
    </row>
    <row r="26">
      <c r="A26" s="92"/>
      <c r="B26" s="141"/>
      <c r="C26" s="141"/>
      <c r="D26" s="142"/>
      <c r="E26" s="141"/>
      <c r="F26" s="141"/>
      <c r="G26" s="141"/>
    </row>
    <row r="27">
      <c r="A27" s="92"/>
      <c r="B27" s="141"/>
      <c r="C27" s="141"/>
      <c r="D27" s="142"/>
      <c r="E27" s="141"/>
      <c r="F27" s="141"/>
      <c r="G27" s="141"/>
    </row>
    <row r="28">
      <c r="A28" s="92"/>
      <c r="B28" s="141"/>
      <c r="C28" s="141"/>
      <c r="D28" s="142"/>
      <c r="E28" s="141"/>
      <c r="F28" s="141"/>
      <c r="G28" s="141"/>
    </row>
    <row r="29">
      <c r="A29" s="92"/>
      <c r="B29" s="141"/>
      <c r="C29" s="141"/>
      <c r="D29" s="142"/>
      <c r="E29" s="141"/>
      <c r="F29" s="141"/>
      <c r="G29" s="141"/>
    </row>
    <row r="30">
      <c r="A30" s="92"/>
      <c r="B30" s="141"/>
      <c r="C30" s="141"/>
      <c r="D30" s="142"/>
      <c r="E30" s="141"/>
      <c r="F30" s="141"/>
      <c r="G30" s="141"/>
    </row>
    <row r="31">
      <c r="A31" s="92"/>
      <c r="B31" s="141"/>
      <c r="C31" s="141"/>
      <c r="D31" s="142"/>
      <c r="E31" s="141"/>
      <c r="F31" s="141"/>
      <c r="G31" s="141"/>
    </row>
    <row r="32">
      <c r="A32" s="92"/>
      <c r="B32" s="141"/>
      <c r="C32" s="141"/>
      <c r="D32" s="142"/>
      <c r="E32" s="141"/>
      <c r="F32" s="141"/>
      <c r="G32" s="141"/>
    </row>
    <row r="33">
      <c r="A33" s="92"/>
      <c r="B33" s="141"/>
      <c r="C33" s="141"/>
      <c r="D33" s="142"/>
      <c r="E33" s="141"/>
      <c r="F33" s="141"/>
      <c r="G33" s="141"/>
    </row>
    <row r="34">
      <c r="A34" s="92"/>
      <c r="B34" s="141"/>
      <c r="C34" s="141"/>
      <c r="D34" s="142"/>
      <c r="E34" s="141"/>
      <c r="F34" s="141"/>
      <c r="G34" s="141"/>
    </row>
    <row r="35">
      <c r="A35" s="92"/>
      <c r="B35" s="141"/>
      <c r="C35" s="141"/>
      <c r="D35" s="142"/>
      <c r="E35" s="141"/>
      <c r="F35" s="141"/>
      <c r="G35" s="141"/>
    </row>
    <row r="36">
      <c r="A36" s="92"/>
      <c r="B36" s="141"/>
      <c r="C36" s="141"/>
      <c r="D36" s="142"/>
      <c r="E36" s="141"/>
      <c r="F36" s="141"/>
      <c r="G36" s="141"/>
    </row>
    <row r="37">
      <c r="A37" s="92"/>
      <c r="B37" s="141"/>
      <c r="C37" s="141"/>
      <c r="D37" s="142"/>
      <c r="E37" s="141"/>
      <c r="F37" s="141"/>
      <c r="G37" s="141"/>
    </row>
    <row r="38">
      <c r="A38" s="92"/>
      <c r="B38" s="141"/>
      <c r="C38" s="141"/>
      <c r="D38" s="142"/>
      <c r="E38" s="141"/>
      <c r="F38" s="141"/>
      <c r="G38" s="141"/>
    </row>
    <row r="39">
      <c r="A39" s="92"/>
      <c r="B39" s="141"/>
      <c r="C39" s="141"/>
      <c r="D39" s="142"/>
      <c r="E39" s="141"/>
      <c r="F39" s="141"/>
      <c r="G39" s="141"/>
    </row>
    <row r="40">
      <c r="A40" s="92"/>
      <c r="B40" s="141"/>
      <c r="C40" s="141"/>
      <c r="D40" s="142"/>
      <c r="E40" s="141"/>
      <c r="F40" s="141"/>
      <c r="G40" s="141"/>
    </row>
    <row r="41">
      <c r="A41" s="92"/>
      <c r="B41" s="141"/>
      <c r="C41" s="141"/>
      <c r="D41" s="142"/>
      <c r="E41" s="141"/>
      <c r="F41" s="141"/>
      <c r="G41" s="141"/>
    </row>
    <row r="42">
      <c r="A42" s="92"/>
      <c r="B42" s="141"/>
      <c r="C42" s="141"/>
      <c r="D42" s="142"/>
      <c r="E42" s="141"/>
      <c r="F42" s="141"/>
      <c r="G42" s="141"/>
    </row>
    <row r="43">
      <c r="A43" s="92"/>
      <c r="B43" s="141"/>
      <c r="C43" s="141"/>
      <c r="D43" s="142"/>
      <c r="E43" s="141"/>
      <c r="F43" s="141"/>
      <c r="G43" s="141"/>
    </row>
    <row r="44">
      <c r="A44" s="92"/>
      <c r="B44" s="141"/>
      <c r="C44" s="141"/>
      <c r="D44" s="142"/>
      <c r="E44" s="141"/>
      <c r="F44" s="141"/>
      <c r="G44" s="141"/>
    </row>
    <row r="45">
      <c r="A45" s="92"/>
      <c r="B45" s="141"/>
      <c r="C45" s="141"/>
      <c r="D45" s="142"/>
      <c r="E45" s="141"/>
      <c r="F45" s="141"/>
      <c r="G45" s="141"/>
    </row>
    <row r="46">
      <c r="A46" s="92"/>
      <c r="B46" s="141"/>
      <c r="C46" s="141"/>
      <c r="D46" s="142"/>
      <c r="E46" s="141"/>
      <c r="F46" s="141"/>
      <c r="G46" s="141"/>
    </row>
    <row r="47">
      <c r="A47" s="92"/>
      <c r="B47" s="141"/>
      <c r="C47" s="141"/>
      <c r="D47" s="142"/>
      <c r="E47" s="141"/>
      <c r="F47" s="141"/>
      <c r="G47" s="141"/>
    </row>
    <row r="48">
      <c r="A48" s="92"/>
      <c r="B48" s="141"/>
      <c r="C48" s="141"/>
      <c r="D48" s="142"/>
      <c r="E48" s="141"/>
      <c r="F48" s="141"/>
      <c r="G48" s="141"/>
    </row>
    <row r="49">
      <c r="A49" s="92"/>
      <c r="B49" s="141"/>
      <c r="C49" s="141"/>
      <c r="D49" s="142"/>
      <c r="E49" s="141"/>
      <c r="F49" s="141"/>
      <c r="G49" s="141"/>
    </row>
    <row r="50">
      <c r="A50" s="92"/>
      <c r="B50" s="141"/>
      <c r="C50" s="141"/>
      <c r="D50" s="142"/>
      <c r="E50" s="141"/>
      <c r="F50" s="141"/>
      <c r="G50" s="141"/>
    </row>
    <row r="51">
      <c r="A51" s="92"/>
      <c r="B51" s="141"/>
      <c r="C51" s="141"/>
      <c r="D51" s="142"/>
      <c r="E51" s="141"/>
      <c r="F51" s="141"/>
      <c r="G51" s="141"/>
    </row>
    <row r="52">
      <c r="A52" s="92"/>
      <c r="B52" s="141"/>
      <c r="C52" s="141"/>
      <c r="D52" s="142"/>
      <c r="E52" s="141"/>
      <c r="F52" s="141"/>
      <c r="G52" s="141"/>
    </row>
    <row r="53">
      <c r="A53" s="92"/>
      <c r="B53" s="141"/>
      <c r="C53" s="141"/>
      <c r="D53" s="142"/>
      <c r="E53" s="141"/>
      <c r="F53" s="141"/>
      <c r="G53" s="141"/>
    </row>
    <row r="54">
      <c r="A54" s="92"/>
      <c r="B54" s="141"/>
      <c r="C54" s="141"/>
      <c r="D54" s="142"/>
      <c r="E54" s="141"/>
      <c r="F54" s="141"/>
      <c r="G54" s="141"/>
    </row>
    <row r="55">
      <c r="A55" s="92"/>
      <c r="B55" s="141"/>
      <c r="C55" s="141"/>
      <c r="D55" s="142"/>
      <c r="E55" s="141"/>
      <c r="F55" s="141"/>
      <c r="G55" s="141"/>
    </row>
    <row r="56">
      <c r="A56" s="92"/>
      <c r="B56" s="141"/>
      <c r="C56" s="141"/>
      <c r="D56" s="142"/>
      <c r="E56" s="141"/>
      <c r="F56" s="141"/>
      <c r="G56" s="141"/>
    </row>
    <row r="57">
      <c r="A57" s="92"/>
      <c r="B57" s="141"/>
      <c r="C57" s="141"/>
      <c r="D57" s="142"/>
      <c r="E57" s="141"/>
      <c r="F57" s="141"/>
      <c r="G57" s="141"/>
    </row>
    <row r="58">
      <c r="A58" s="92"/>
      <c r="B58" s="141"/>
      <c r="C58" s="141"/>
      <c r="D58" s="142"/>
      <c r="E58" s="141"/>
      <c r="F58" s="141"/>
      <c r="G58" s="141"/>
    </row>
    <row r="59">
      <c r="A59" s="92"/>
      <c r="B59" s="141"/>
      <c r="C59" s="141"/>
      <c r="D59" s="142"/>
      <c r="E59" s="141"/>
      <c r="F59" s="141"/>
      <c r="G59" s="141"/>
    </row>
    <row r="60">
      <c r="A60" s="92"/>
      <c r="B60" s="141"/>
      <c r="C60" s="141"/>
      <c r="D60" s="142"/>
      <c r="E60" s="141"/>
      <c r="F60" s="141"/>
      <c r="G60" s="141"/>
    </row>
    <row r="61">
      <c r="A61" s="92"/>
      <c r="B61" s="141"/>
      <c r="C61" s="141"/>
      <c r="D61" s="142"/>
      <c r="E61" s="141"/>
      <c r="F61" s="141"/>
      <c r="G61" s="141"/>
    </row>
    <row r="62">
      <c r="A62" s="92"/>
      <c r="B62" s="141"/>
      <c r="C62" s="141"/>
      <c r="D62" s="142"/>
      <c r="E62" s="141"/>
      <c r="F62" s="141"/>
      <c r="G62" s="141"/>
    </row>
    <row r="63">
      <c r="A63" s="92"/>
      <c r="B63" s="141"/>
      <c r="C63" s="141"/>
      <c r="D63" s="142"/>
      <c r="E63" s="141"/>
      <c r="F63" s="141"/>
      <c r="G63" s="141"/>
    </row>
    <row r="64">
      <c r="A64" s="92"/>
      <c r="B64" s="141"/>
      <c r="C64" s="141"/>
      <c r="D64" s="142"/>
      <c r="E64" s="141"/>
      <c r="F64" s="141"/>
      <c r="G64" s="141"/>
    </row>
    <row r="65">
      <c r="A65" s="92"/>
      <c r="B65" s="141"/>
      <c r="C65" s="141"/>
      <c r="D65" s="142"/>
      <c r="E65" s="141"/>
      <c r="F65" s="141"/>
      <c r="G65" s="141"/>
    </row>
    <row r="66">
      <c r="A66" s="92"/>
      <c r="B66" s="141"/>
      <c r="C66" s="141"/>
      <c r="D66" s="142"/>
      <c r="E66" s="141"/>
      <c r="F66" s="141"/>
      <c r="G66" s="141"/>
    </row>
    <row r="67">
      <c r="A67" s="92"/>
      <c r="B67" s="141"/>
      <c r="C67" s="141"/>
      <c r="D67" s="142"/>
      <c r="E67" s="141"/>
      <c r="F67" s="141"/>
      <c r="G67" s="141"/>
    </row>
    <row r="68">
      <c r="A68" s="92"/>
      <c r="B68" s="141"/>
      <c r="C68" s="141"/>
      <c r="D68" s="142"/>
      <c r="E68" s="141"/>
      <c r="F68" s="141"/>
      <c r="G68" s="141"/>
    </row>
    <row r="69">
      <c r="A69" s="92"/>
      <c r="B69" s="141"/>
      <c r="C69" s="141"/>
      <c r="D69" s="142"/>
      <c r="E69" s="141"/>
      <c r="F69" s="141"/>
      <c r="G69" s="141"/>
    </row>
    <row r="70">
      <c r="A70" s="92"/>
      <c r="B70" s="141"/>
      <c r="C70" s="141"/>
      <c r="D70" s="142"/>
      <c r="E70" s="141"/>
      <c r="F70" s="141"/>
      <c r="G70" s="141"/>
    </row>
    <row r="71">
      <c r="A71" s="92"/>
      <c r="B71" s="141"/>
      <c r="C71" s="141"/>
      <c r="D71" s="142"/>
      <c r="E71" s="141"/>
      <c r="F71" s="141"/>
      <c r="G71" s="141"/>
    </row>
    <row r="72">
      <c r="A72" s="92"/>
      <c r="B72" s="141"/>
      <c r="C72" s="141"/>
      <c r="D72" s="142"/>
      <c r="E72" s="141"/>
      <c r="F72" s="141"/>
      <c r="G72" s="141"/>
    </row>
    <row r="73">
      <c r="A73" s="92"/>
      <c r="B73" s="141"/>
      <c r="C73" s="141"/>
      <c r="D73" s="142"/>
      <c r="E73" s="141"/>
      <c r="F73" s="141"/>
      <c r="G73" s="141"/>
    </row>
    <row r="74">
      <c r="A74" s="92"/>
      <c r="B74" s="141"/>
      <c r="C74" s="141"/>
      <c r="D74" s="142"/>
      <c r="E74" s="141"/>
      <c r="F74" s="141"/>
      <c r="G74" s="141"/>
    </row>
    <row r="75">
      <c r="A75" s="92"/>
      <c r="B75" s="141"/>
      <c r="C75" s="141"/>
      <c r="D75" s="142"/>
      <c r="E75" s="141"/>
      <c r="F75" s="141"/>
      <c r="G75" s="141"/>
    </row>
    <row r="76">
      <c r="A76" s="92"/>
      <c r="B76" s="141"/>
      <c r="C76" s="141"/>
      <c r="D76" s="142"/>
      <c r="E76" s="141"/>
      <c r="F76" s="141"/>
      <c r="G76" s="141"/>
    </row>
    <row r="77">
      <c r="A77" s="92"/>
      <c r="B77" s="141"/>
      <c r="C77" s="141"/>
      <c r="D77" s="142"/>
      <c r="E77" s="141"/>
      <c r="F77" s="141"/>
      <c r="G77" s="141"/>
    </row>
    <row r="78">
      <c r="A78" s="92"/>
      <c r="B78" s="141"/>
      <c r="C78" s="141"/>
      <c r="D78" s="142"/>
      <c r="E78" s="141"/>
      <c r="F78" s="141"/>
      <c r="G78" s="141"/>
    </row>
    <row r="79">
      <c r="A79" s="92"/>
      <c r="B79" s="141"/>
      <c r="C79" s="141"/>
      <c r="D79" s="142"/>
      <c r="E79" s="141"/>
      <c r="F79" s="141"/>
      <c r="G79" s="141"/>
    </row>
    <row r="80">
      <c r="A80" s="92"/>
      <c r="B80" s="141"/>
      <c r="C80" s="141"/>
      <c r="D80" s="142"/>
      <c r="E80" s="141"/>
      <c r="F80" s="141"/>
      <c r="G80" s="141"/>
    </row>
    <row r="81">
      <c r="A81" s="92"/>
      <c r="B81" s="141"/>
      <c r="C81" s="141"/>
      <c r="D81" s="142"/>
      <c r="E81" s="141"/>
      <c r="F81" s="141"/>
      <c r="G81" s="141"/>
    </row>
    <row r="82">
      <c r="A82" s="92"/>
      <c r="B82" s="141"/>
      <c r="C82" s="141"/>
      <c r="D82" s="142"/>
      <c r="E82" s="141"/>
      <c r="F82" s="141"/>
      <c r="G82" s="141"/>
    </row>
    <row r="83">
      <c r="A83" s="92"/>
      <c r="B83" s="141"/>
      <c r="C83" s="141"/>
      <c r="D83" s="142"/>
      <c r="E83" s="141"/>
      <c r="F83" s="141"/>
      <c r="G83" s="141"/>
    </row>
    <row r="84">
      <c r="A84" s="92"/>
      <c r="B84" s="141"/>
      <c r="C84" s="141"/>
      <c r="D84" s="142"/>
      <c r="E84" s="141"/>
      <c r="F84" s="141"/>
      <c r="G84" s="141"/>
    </row>
    <row r="85">
      <c r="A85" s="92"/>
      <c r="B85" s="141"/>
      <c r="C85" s="141"/>
      <c r="D85" s="142"/>
      <c r="E85" s="141"/>
      <c r="F85" s="141"/>
      <c r="G85" s="141"/>
    </row>
    <row r="86">
      <c r="A86" s="92"/>
      <c r="B86" s="141"/>
      <c r="C86" s="141"/>
      <c r="D86" s="142"/>
      <c r="E86" s="141"/>
      <c r="F86" s="141"/>
      <c r="G86" s="141"/>
    </row>
    <row r="87">
      <c r="A87" s="92"/>
      <c r="B87" s="141"/>
      <c r="C87" s="141"/>
      <c r="D87" s="142"/>
      <c r="E87" s="141"/>
      <c r="F87" s="141"/>
      <c r="G87" s="141"/>
    </row>
    <row r="88">
      <c r="A88" s="92"/>
      <c r="B88" s="141"/>
      <c r="C88" s="141"/>
      <c r="D88" s="142"/>
      <c r="E88" s="141"/>
      <c r="F88" s="141"/>
      <c r="G88" s="141"/>
    </row>
    <row r="89">
      <c r="A89" s="92"/>
      <c r="B89" s="141"/>
      <c r="C89" s="141"/>
      <c r="D89" s="142"/>
      <c r="E89" s="141"/>
      <c r="F89" s="141"/>
      <c r="G89" s="141"/>
    </row>
    <row r="90">
      <c r="A90" s="92"/>
      <c r="B90" s="141"/>
      <c r="C90" s="141"/>
      <c r="D90" s="142"/>
      <c r="E90" s="141"/>
      <c r="F90" s="141"/>
      <c r="G90" s="141"/>
    </row>
    <row r="91">
      <c r="A91" s="92"/>
      <c r="B91" s="141"/>
      <c r="C91" s="141"/>
      <c r="D91" s="142"/>
      <c r="E91" s="141"/>
      <c r="F91" s="141"/>
      <c r="G91" s="141"/>
    </row>
    <row r="92">
      <c r="A92" s="92"/>
      <c r="B92" s="141"/>
      <c r="C92" s="141"/>
      <c r="D92" s="142"/>
      <c r="E92" s="141"/>
      <c r="F92" s="141"/>
      <c r="G92" s="141"/>
    </row>
    <row r="93">
      <c r="A93" s="92"/>
      <c r="B93" s="141"/>
      <c r="C93" s="141"/>
      <c r="D93" s="142"/>
      <c r="E93" s="141"/>
      <c r="F93" s="141"/>
      <c r="G93" s="141"/>
    </row>
    <row r="94">
      <c r="A94" s="92"/>
      <c r="B94" s="141"/>
      <c r="C94" s="141"/>
      <c r="D94" s="142"/>
      <c r="E94" s="141"/>
      <c r="F94" s="141"/>
      <c r="G94" s="141"/>
    </row>
    <row r="95">
      <c r="A95" s="92"/>
      <c r="B95" s="141"/>
      <c r="C95" s="141"/>
      <c r="D95" s="142"/>
      <c r="E95" s="141"/>
      <c r="F95" s="141"/>
      <c r="G95" s="141"/>
    </row>
    <row r="96">
      <c r="A96" s="92"/>
      <c r="B96" s="141"/>
      <c r="C96" s="141"/>
      <c r="D96" s="142"/>
      <c r="E96" s="141"/>
      <c r="F96" s="141"/>
      <c r="G96" s="141"/>
    </row>
    <row r="97">
      <c r="A97" s="92"/>
      <c r="B97" s="141"/>
      <c r="C97" s="141"/>
      <c r="D97" s="142"/>
      <c r="E97" s="141"/>
      <c r="F97" s="141"/>
      <c r="G97" s="141"/>
    </row>
    <row r="98">
      <c r="A98" s="92"/>
      <c r="B98" s="141"/>
      <c r="C98" s="141"/>
      <c r="D98" s="142"/>
      <c r="E98" s="141"/>
      <c r="F98" s="141"/>
      <c r="G98" s="141"/>
    </row>
    <row r="99">
      <c r="A99" s="92"/>
      <c r="B99" s="141"/>
      <c r="C99" s="141"/>
      <c r="D99" s="142"/>
      <c r="E99" s="141"/>
      <c r="F99" s="141"/>
      <c r="G99" s="141"/>
    </row>
    <row r="100">
      <c r="A100" s="92"/>
      <c r="B100" s="141"/>
      <c r="C100" s="141"/>
      <c r="D100" s="142"/>
      <c r="E100" s="141"/>
      <c r="F100" s="141"/>
      <c r="G100" s="141"/>
    </row>
    <row r="101">
      <c r="A101" s="92"/>
      <c r="B101" s="141"/>
      <c r="C101" s="141"/>
      <c r="D101" s="142"/>
      <c r="E101" s="141"/>
      <c r="F101" s="141"/>
      <c r="G101" s="141"/>
    </row>
    <row r="102">
      <c r="A102" s="131"/>
      <c r="B102" s="143"/>
      <c r="C102" s="143"/>
      <c r="D102" s="142"/>
      <c r="E102" s="143"/>
      <c r="F102" s="143"/>
      <c r="G102" s="143"/>
    </row>
    <row r="104" ht="21">
      <c r="A104" s="134" t="s">
        <v>231</v>
      </c>
      <c r="B104" s="134"/>
      <c r="C104" s="134"/>
      <c r="D104" s="134"/>
      <c r="E104" s="134"/>
      <c r="F104" s="134"/>
      <c r="G104" s="134"/>
      <c r="H104" s="134"/>
    </row>
    <row r="105" ht="21">
      <c r="A105" s="134"/>
      <c r="B105" s="134"/>
      <c r="C105" s="134"/>
      <c r="D105" s="134"/>
      <c r="E105" s="134"/>
      <c r="F105" s="134"/>
      <c r="G105" s="134"/>
      <c r="H105" s="134"/>
    </row>
  </sheetData>
  <mergeCells count="4">
    <mergeCell ref="A2:G2"/>
    <mergeCell ref="A3:G3"/>
    <mergeCell ref="A104:H104"/>
    <mergeCell ref="A105:H105"/>
  </mergeCells>
  <dataValidations count="1" disablePrompts="0">
    <dataValidation sqref="A7:A102" type="list" allowBlank="1" errorStyle="stop" imeMode="noControl" operator="between" showDropDown="0" showErrorMessage="1" showInputMessage="1">
      <formula1>'Р 1. "Общие сведения"'!$I$7:$I$180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7">
    <outlinePr applyStyles="0" summaryBelow="1" summaryRight="1" showOutlineSymbols="1"/>
    <pageSetUpPr autoPageBreaks="1" fitToPage="0"/>
  </sheetPr>
  <sheetViews>
    <sheetView view="pageBreakPreview" zoomScale="85" workbookViewId="0">
      <selection activeCell="C43" activeCellId="0" sqref="C43"/>
    </sheetView>
  </sheetViews>
  <sheetFormatPr defaultRowHeight="14.25"/>
  <cols>
    <col customWidth="1" min="1" max="1" width="45.28515625"/>
    <col customWidth="1" min="2" max="2" width="35.42578125"/>
    <col customWidth="1" min="3" max="3" width="46.85546875"/>
    <col customWidth="1" min="4" max="4" width="45.85546875"/>
    <col customWidth="1" min="5" max="5" width="30"/>
    <col customWidth="1" min="6" max="6" width="19.28515625"/>
  </cols>
  <sheetData>
    <row r="2">
      <c r="A2" s="144" t="s">
        <v>241</v>
      </c>
      <c r="B2" s="144"/>
      <c r="C2" s="144"/>
      <c r="D2" s="144"/>
      <c r="E2" s="144"/>
    </row>
    <row r="3">
      <c r="A3" s="145" t="s">
        <v>242</v>
      </c>
      <c r="B3" s="145"/>
      <c r="C3" s="145"/>
      <c r="D3" s="145"/>
      <c r="E3" s="145"/>
    </row>
    <row r="4">
      <c r="A4" s="146"/>
      <c r="B4" s="146"/>
      <c r="C4" s="146"/>
      <c r="D4" s="146"/>
      <c r="E4" s="146"/>
    </row>
    <row r="5" ht="71.25">
      <c r="A5" s="147" t="s">
        <v>243</v>
      </c>
      <c r="B5" s="148" t="s">
        <v>244</v>
      </c>
      <c r="C5" s="148" t="s">
        <v>245</v>
      </c>
      <c r="D5" s="148" t="s">
        <v>246</v>
      </c>
      <c r="E5" s="149" t="s">
        <v>247</v>
      </c>
      <c r="F5" s="141"/>
      <c r="G5" s="141"/>
      <c r="H5" s="141"/>
      <c r="I5" s="141"/>
      <c r="J5" s="141"/>
      <c r="K5" s="141"/>
      <c r="L5" s="141"/>
    </row>
    <row r="6" ht="75">
      <c r="A6" s="150" t="s">
        <v>248</v>
      </c>
      <c r="B6" s="108" t="s">
        <v>249</v>
      </c>
      <c r="C6" s="108" t="s">
        <v>250</v>
      </c>
      <c r="D6" s="108" t="s">
        <v>171</v>
      </c>
      <c r="E6" s="108" t="s">
        <v>251</v>
      </c>
      <c r="F6" s="141"/>
      <c r="G6" s="141"/>
      <c r="H6" s="141"/>
      <c r="I6" s="141"/>
      <c r="J6" s="141"/>
      <c r="K6" s="141"/>
      <c r="L6" s="141"/>
    </row>
    <row r="7" ht="15">
      <c r="A7" s="150"/>
      <c r="B7" s="108"/>
      <c r="C7" s="151"/>
      <c r="D7" s="108"/>
      <c r="E7" s="108"/>
      <c r="F7" s="141"/>
      <c r="G7" s="141"/>
      <c r="H7" s="141"/>
      <c r="I7" s="141"/>
      <c r="J7" s="141"/>
      <c r="K7" s="141"/>
      <c r="L7" s="141"/>
    </row>
    <row r="8" ht="15">
      <c r="A8" s="150"/>
      <c r="B8" s="108"/>
      <c r="C8" s="108"/>
      <c r="D8" s="108"/>
      <c r="E8" s="108"/>
      <c r="F8" s="141"/>
      <c r="G8" s="141"/>
      <c r="H8" s="141"/>
      <c r="I8" s="141"/>
      <c r="J8" s="141"/>
      <c r="K8" s="141"/>
      <c r="L8" s="141"/>
    </row>
    <row r="9" ht="15">
      <c r="A9" s="150"/>
      <c r="B9" s="108"/>
      <c r="C9" s="108"/>
      <c r="D9" s="108"/>
      <c r="E9" s="108"/>
      <c r="F9" s="141"/>
      <c r="G9" s="141"/>
      <c r="H9" s="141"/>
      <c r="I9" s="141"/>
      <c r="J9" s="141"/>
      <c r="K9" s="141"/>
      <c r="L9" s="141"/>
    </row>
    <row r="10" ht="15">
      <c r="A10" s="150"/>
      <c r="B10" s="108"/>
      <c r="C10" s="108"/>
      <c r="D10" s="108"/>
      <c r="E10" s="108"/>
      <c r="F10" s="141"/>
      <c r="G10" s="141"/>
      <c r="H10" s="141"/>
      <c r="I10" s="141"/>
      <c r="J10" s="141"/>
      <c r="K10" s="141"/>
      <c r="L10" s="141"/>
    </row>
    <row r="11" ht="15">
      <c r="A11" s="150"/>
      <c r="B11" s="108"/>
      <c r="C11" s="108"/>
      <c r="D11" s="108"/>
      <c r="E11" s="108"/>
      <c r="F11" s="141"/>
      <c r="G11" s="141"/>
      <c r="H11" s="141"/>
      <c r="I11" s="141"/>
      <c r="J11" s="141"/>
      <c r="K11" s="141"/>
      <c r="L11" s="141"/>
    </row>
    <row r="12" ht="15">
      <c r="A12" s="150"/>
      <c r="B12" s="108"/>
      <c r="C12" s="108"/>
      <c r="D12" s="108"/>
      <c r="E12" s="108"/>
      <c r="F12" s="141"/>
      <c r="G12" s="141"/>
      <c r="H12" s="141"/>
      <c r="I12" s="141"/>
      <c r="J12" s="141"/>
      <c r="K12" s="141"/>
      <c r="L12" s="141"/>
    </row>
    <row r="13" ht="15">
      <c r="A13" s="150"/>
      <c r="B13" s="108"/>
      <c r="C13" s="108"/>
      <c r="D13" s="108"/>
      <c r="E13" s="108"/>
      <c r="F13" s="141"/>
      <c r="G13" s="141"/>
      <c r="H13" s="141"/>
      <c r="I13" s="141"/>
      <c r="J13" s="141"/>
      <c r="K13" s="141"/>
      <c r="L13" s="141"/>
    </row>
    <row r="14">
      <c r="A14" s="9"/>
      <c r="B14" s="9"/>
      <c r="C14" s="9"/>
      <c r="D14" s="9"/>
      <c r="E14" s="9"/>
      <c r="F14" s="141"/>
      <c r="G14" s="141"/>
      <c r="H14" s="141"/>
      <c r="I14" s="141"/>
      <c r="J14" s="141"/>
      <c r="K14" s="141"/>
      <c r="L14" s="141"/>
    </row>
    <row r="15">
      <c r="A15" s="9"/>
      <c r="B15" s="9"/>
      <c r="C15" s="9"/>
      <c r="D15" s="9"/>
      <c r="E15" s="9"/>
      <c r="F15" s="141"/>
      <c r="G15" s="141"/>
      <c r="H15" s="141"/>
      <c r="I15" s="141"/>
      <c r="J15" s="141"/>
      <c r="K15" s="141"/>
      <c r="L15" s="141"/>
    </row>
    <row r="16">
      <c r="A16" s="9"/>
      <c r="B16" s="9"/>
      <c r="C16" s="9"/>
      <c r="D16" s="9"/>
      <c r="E16" s="9"/>
      <c r="F16" s="141"/>
      <c r="G16" s="141"/>
      <c r="H16" s="141"/>
      <c r="I16" s="141"/>
      <c r="J16" s="141"/>
      <c r="K16" s="141"/>
      <c r="L16" s="141"/>
    </row>
    <row r="17">
      <c r="A17" s="9"/>
      <c r="B17" s="9"/>
      <c r="C17" s="9"/>
      <c r="D17" s="9"/>
      <c r="E17" s="9"/>
      <c r="F17" s="141"/>
      <c r="G17" s="141"/>
      <c r="H17" s="141"/>
      <c r="I17" s="141"/>
      <c r="J17" s="141"/>
      <c r="K17" s="141"/>
      <c r="L17" s="141"/>
    </row>
    <row r="18">
      <c r="A18" s="9"/>
      <c r="B18" s="9"/>
      <c r="C18" s="9"/>
      <c r="D18" s="9"/>
      <c r="E18" s="9"/>
      <c r="F18" s="141"/>
      <c r="G18" s="141"/>
      <c r="H18" s="141"/>
      <c r="I18" s="141"/>
      <c r="J18" s="141"/>
      <c r="K18" s="141"/>
      <c r="L18" s="141"/>
    </row>
    <row r="19">
      <c r="A19" s="9"/>
      <c r="B19" s="9"/>
      <c r="C19" s="9"/>
      <c r="D19" s="9"/>
      <c r="E19" s="9"/>
      <c r="F19" s="141"/>
      <c r="G19" s="141"/>
      <c r="H19" s="141"/>
      <c r="I19" s="141"/>
      <c r="J19" s="141"/>
      <c r="K19" s="141"/>
      <c r="L19" s="141"/>
    </row>
    <row r="20">
      <c r="A20" s="9"/>
      <c r="B20" s="9"/>
      <c r="C20" s="9"/>
      <c r="D20" s="9"/>
      <c r="E20" s="9"/>
      <c r="F20" s="141"/>
      <c r="G20" s="141"/>
      <c r="H20" s="141"/>
      <c r="I20" s="141"/>
      <c r="J20" s="141"/>
      <c r="K20" s="141"/>
      <c r="L20" s="141"/>
    </row>
    <row r="21">
      <c r="A21" s="9"/>
      <c r="B21" s="9"/>
      <c r="C21" s="9"/>
      <c r="D21" s="9"/>
      <c r="E21" s="9"/>
      <c r="F21" s="141"/>
      <c r="G21" s="141"/>
      <c r="H21" s="141"/>
      <c r="I21" s="141"/>
      <c r="J21" s="141"/>
      <c r="K21" s="141"/>
      <c r="L21" s="141"/>
    </row>
    <row r="22">
      <c r="A22" s="9"/>
      <c r="B22" s="9"/>
      <c r="C22" s="9"/>
      <c r="D22" s="9"/>
      <c r="E22" s="9"/>
      <c r="F22" s="141"/>
      <c r="G22" s="141"/>
      <c r="H22" s="141"/>
      <c r="I22" s="141"/>
      <c r="J22" s="141"/>
      <c r="K22" s="141"/>
      <c r="L22" s="141"/>
    </row>
    <row r="23">
      <c r="A23" s="9"/>
      <c r="B23" s="9"/>
      <c r="C23" s="9"/>
      <c r="D23" s="9"/>
      <c r="E23" s="9"/>
      <c r="F23" s="141"/>
      <c r="G23" s="141"/>
      <c r="H23" s="141"/>
      <c r="I23" s="141"/>
      <c r="J23" s="141"/>
      <c r="K23" s="141"/>
      <c r="L23" s="141"/>
    </row>
    <row r="24">
      <c r="A24" s="9"/>
      <c r="B24" s="9"/>
      <c r="C24" s="9"/>
      <c r="D24" s="9"/>
      <c r="E24" s="9"/>
      <c r="F24" s="141"/>
      <c r="G24" s="141"/>
      <c r="H24" s="141"/>
      <c r="I24" s="141"/>
      <c r="J24" s="141"/>
      <c r="K24" s="141"/>
      <c r="L24" s="141"/>
    </row>
    <row r="25">
      <c r="A25" s="9"/>
      <c r="B25" s="9"/>
      <c r="C25" s="9"/>
      <c r="D25" s="9"/>
      <c r="E25" s="9"/>
      <c r="F25" s="141"/>
      <c r="G25" s="141"/>
      <c r="H25" s="141"/>
      <c r="I25" s="141"/>
      <c r="J25" s="141"/>
      <c r="K25" s="141"/>
      <c r="L25" s="141"/>
    </row>
    <row r="26">
      <c r="A26" s="9"/>
      <c r="B26" s="9"/>
      <c r="C26" s="9"/>
      <c r="D26" s="9"/>
      <c r="E26" s="9"/>
      <c r="F26" s="141"/>
      <c r="G26" s="141"/>
      <c r="H26" s="141"/>
      <c r="I26" s="141"/>
      <c r="J26" s="141"/>
      <c r="K26" s="141"/>
      <c r="L26" s="141"/>
    </row>
    <row r="27">
      <c r="A27" s="9"/>
      <c r="B27" s="9"/>
      <c r="C27" s="9"/>
      <c r="D27" s="9"/>
      <c r="E27" s="9"/>
      <c r="F27" s="141"/>
      <c r="G27" s="141"/>
      <c r="H27" s="141"/>
      <c r="I27" s="141"/>
      <c r="J27" s="141"/>
      <c r="K27" s="141"/>
      <c r="L27" s="141"/>
    </row>
    <row r="28">
      <c r="A28" s="9"/>
      <c r="B28" s="9"/>
      <c r="C28" s="9"/>
      <c r="D28" s="9"/>
      <c r="E28" s="9"/>
    </row>
    <row r="29">
      <c r="A29" s="9"/>
      <c r="B29" s="9"/>
      <c r="C29" s="9"/>
      <c r="D29" s="9"/>
      <c r="E29" s="9"/>
    </row>
    <row r="30">
      <c r="A30" s="9"/>
      <c r="B30" s="9"/>
      <c r="C30" s="9"/>
      <c r="D30" s="9"/>
      <c r="E30" s="9"/>
    </row>
    <row r="31">
      <c r="A31" s="9"/>
      <c r="B31" s="9"/>
      <c r="C31" s="9"/>
      <c r="D31" s="9"/>
      <c r="E31" s="9"/>
    </row>
    <row r="32">
      <c r="A32" s="9"/>
      <c r="B32" s="9"/>
      <c r="C32" s="9"/>
      <c r="D32" s="9"/>
      <c r="E32" s="9"/>
    </row>
    <row r="33">
      <c r="A33" s="9"/>
      <c r="B33" s="9"/>
      <c r="C33" s="9"/>
      <c r="D33" s="9"/>
      <c r="E33" s="9"/>
    </row>
    <row r="34">
      <c r="A34" s="9"/>
      <c r="B34" s="9"/>
      <c r="C34" s="9"/>
      <c r="D34" s="9"/>
      <c r="E34" s="9"/>
    </row>
    <row r="35">
      <c r="A35" s="9"/>
      <c r="B35" s="9"/>
      <c r="C35" s="9"/>
      <c r="D35" s="9"/>
      <c r="E35" s="9"/>
    </row>
    <row r="36">
      <c r="A36" s="9"/>
      <c r="B36" s="9"/>
      <c r="C36" s="9"/>
      <c r="D36" s="9"/>
      <c r="E36" s="9"/>
    </row>
    <row r="37">
      <c r="A37" s="9"/>
      <c r="B37" s="9"/>
      <c r="C37" s="9"/>
      <c r="D37" s="9"/>
      <c r="E37" s="9"/>
    </row>
    <row r="38">
      <c r="A38" s="9"/>
      <c r="B38" s="9"/>
      <c r="C38" s="9"/>
      <c r="D38" s="9"/>
      <c r="E38" s="9"/>
    </row>
    <row r="39">
      <c r="A39" s="9"/>
      <c r="B39" s="9"/>
      <c r="C39" s="9"/>
      <c r="D39" s="9"/>
      <c r="E39" s="9"/>
    </row>
    <row r="40">
      <c r="A40" s="9"/>
      <c r="B40" s="9"/>
      <c r="C40" s="9"/>
      <c r="D40" s="9"/>
      <c r="E40" s="9"/>
    </row>
    <row r="41">
      <c r="A41" s="9"/>
      <c r="B41" s="9"/>
      <c r="C41" s="9"/>
      <c r="D41" s="9"/>
      <c r="E41" s="9"/>
    </row>
    <row r="42">
      <c r="A42" s="9"/>
      <c r="B42" s="9"/>
      <c r="C42" s="9"/>
      <c r="D42" s="9"/>
      <c r="E42" s="9"/>
    </row>
    <row r="43">
      <c r="A43" s="9"/>
      <c r="B43" s="9"/>
      <c r="C43" s="9"/>
      <c r="D43" s="9"/>
      <c r="E43" s="9"/>
    </row>
    <row r="44">
      <c r="A44" s="9"/>
      <c r="B44" s="9"/>
      <c r="C44" s="9"/>
      <c r="D44" s="9"/>
      <c r="E44" s="9"/>
    </row>
    <row r="45">
      <c r="A45" s="9"/>
      <c r="B45" s="9"/>
      <c r="C45" s="9"/>
      <c r="D45" s="9"/>
      <c r="E45" s="9"/>
    </row>
    <row r="46">
      <c r="A46" s="9"/>
      <c r="B46" s="9"/>
      <c r="C46" s="9"/>
      <c r="D46" s="9"/>
      <c r="E46" s="9"/>
    </row>
    <row r="47">
      <c r="A47" s="9"/>
      <c r="B47" s="9"/>
      <c r="C47" s="9"/>
      <c r="D47" s="9"/>
      <c r="E47" s="9"/>
    </row>
    <row r="48">
      <c r="A48" s="9"/>
      <c r="B48" s="9"/>
      <c r="C48" s="9"/>
      <c r="D48" s="9"/>
      <c r="E48" s="9"/>
    </row>
    <row r="49">
      <c r="A49" s="9"/>
      <c r="B49" s="9"/>
      <c r="C49" s="9"/>
      <c r="D49" s="9"/>
      <c r="E49" s="9"/>
    </row>
    <row r="50">
      <c r="A50" s="9"/>
      <c r="B50" s="9"/>
      <c r="C50" s="9"/>
      <c r="D50" s="9"/>
      <c r="E50" s="9"/>
    </row>
    <row r="51">
      <c r="A51" s="9"/>
      <c r="B51" s="9"/>
      <c r="C51" s="9"/>
      <c r="D51" s="9"/>
      <c r="E51" s="9"/>
    </row>
    <row r="52">
      <c r="A52" s="9"/>
      <c r="B52" s="9"/>
      <c r="C52" s="9"/>
      <c r="D52" s="9"/>
      <c r="E52" s="9"/>
    </row>
    <row r="53">
      <c r="A53" s="9"/>
      <c r="B53" s="9"/>
      <c r="C53" s="9"/>
      <c r="D53" s="9"/>
      <c r="E53" s="9"/>
    </row>
    <row r="54">
      <c r="A54" s="9"/>
      <c r="B54" s="9"/>
      <c r="C54" s="9"/>
      <c r="D54" s="9"/>
      <c r="E54" s="9"/>
    </row>
    <row r="55">
      <c r="A55" s="9"/>
      <c r="B55" s="9"/>
      <c r="C55" s="9"/>
      <c r="D55" s="9"/>
      <c r="E55" s="9"/>
    </row>
    <row r="56">
      <c r="A56" s="9"/>
      <c r="B56" s="9"/>
      <c r="C56" s="9"/>
      <c r="D56" s="9"/>
      <c r="E56" s="9"/>
    </row>
    <row r="57">
      <c r="A57" s="9"/>
      <c r="B57" s="9"/>
      <c r="C57" s="9"/>
      <c r="D57" s="9"/>
      <c r="E57" s="9"/>
    </row>
    <row r="58">
      <c r="A58" s="9"/>
      <c r="B58" s="9"/>
      <c r="C58" s="9"/>
      <c r="D58" s="9"/>
      <c r="E58" s="9"/>
    </row>
    <row r="59">
      <c r="A59" s="9"/>
      <c r="B59" s="9"/>
      <c r="C59" s="9"/>
      <c r="D59" s="9"/>
      <c r="E59" s="9"/>
    </row>
    <row r="60">
      <c r="A60" s="9"/>
      <c r="B60" s="9"/>
      <c r="C60" s="9"/>
      <c r="D60" s="9"/>
      <c r="E60" s="9"/>
    </row>
    <row r="61">
      <c r="A61" s="9"/>
      <c r="B61" s="9"/>
      <c r="C61" s="9"/>
      <c r="D61" s="9"/>
      <c r="E61" s="9"/>
    </row>
    <row r="62">
      <c r="A62" s="9"/>
      <c r="B62" s="9"/>
      <c r="C62" s="9"/>
      <c r="D62" s="9"/>
      <c r="E62" s="9"/>
    </row>
    <row r="63">
      <c r="A63" s="9"/>
      <c r="B63" s="9"/>
      <c r="C63" s="9"/>
      <c r="D63" s="9"/>
      <c r="E63" s="9"/>
    </row>
    <row r="64">
      <c r="A64" s="9"/>
      <c r="B64" s="9"/>
      <c r="C64" s="9"/>
      <c r="D64" s="9"/>
      <c r="E64" s="9"/>
    </row>
    <row r="65">
      <c r="A65" s="9"/>
      <c r="B65" s="9"/>
      <c r="C65" s="9"/>
      <c r="D65" s="9"/>
      <c r="E65" s="9"/>
    </row>
    <row r="66">
      <c r="A66" s="9"/>
      <c r="B66" s="9"/>
      <c r="C66" s="9"/>
      <c r="D66" s="9"/>
      <c r="E66" s="9"/>
    </row>
    <row r="67">
      <c r="A67" s="9"/>
      <c r="B67" s="9"/>
      <c r="C67" s="9"/>
      <c r="D67" s="9"/>
      <c r="E67" s="9"/>
    </row>
    <row r="68">
      <c r="A68" s="9"/>
      <c r="B68" s="9"/>
      <c r="C68" s="9"/>
      <c r="D68" s="9"/>
      <c r="E68" s="9"/>
    </row>
    <row r="69">
      <c r="A69" s="9"/>
      <c r="B69" s="9"/>
      <c r="C69" s="9"/>
      <c r="D69" s="9"/>
      <c r="E69" s="9"/>
    </row>
    <row r="70">
      <c r="A70" s="9"/>
      <c r="B70" s="9"/>
      <c r="C70" s="9"/>
      <c r="D70" s="9"/>
      <c r="E70" s="9"/>
    </row>
    <row r="71">
      <c r="A71" s="9"/>
      <c r="B71" s="9"/>
      <c r="C71" s="9"/>
      <c r="D71" s="9"/>
      <c r="E71" s="9"/>
    </row>
    <row r="72">
      <c r="A72" s="9"/>
      <c r="B72" s="9"/>
      <c r="C72" s="9"/>
      <c r="D72" s="9"/>
      <c r="E72" s="9"/>
    </row>
    <row r="73">
      <c r="A73" s="9"/>
      <c r="B73" s="9"/>
      <c r="C73" s="9"/>
      <c r="D73" s="9"/>
      <c r="E73" s="9"/>
    </row>
    <row r="74">
      <c r="A74" s="9"/>
      <c r="B74" s="9"/>
      <c r="C74" s="9"/>
      <c r="D74" s="9"/>
      <c r="E74" s="9"/>
    </row>
    <row r="75">
      <c r="A75" s="9"/>
      <c r="B75" s="9"/>
      <c r="C75" s="9"/>
      <c r="D75" s="9"/>
      <c r="E75" s="9"/>
    </row>
    <row r="76">
      <c r="A76" s="9"/>
      <c r="B76" s="9"/>
      <c r="C76" s="9"/>
      <c r="D76" s="9"/>
      <c r="E76" s="9"/>
    </row>
    <row r="77">
      <c r="A77" s="9"/>
      <c r="B77" s="9"/>
      <c r="C77" s="9"/>
      <c r="D77" s="9"/>
      <c r="E77" s="9"/>
    </row>
    <row r="78">
      <c r="A78" s="9"/>
      <c r="B78" s="9"/>
      <c r="C78" s="9"/>
      <c r="D78" s="9"/>
      <c r="E78" s="9"/>
    </row>
    <row r="79">
      <c r="A79" s="9"/>
      <c r="B79" s="9"/>
      <c r="C79" s="9"/>
      <c r="D79" s="9"/>
      <c r="E79" s="9"/>
    </row>
    <row r="80">
      <c r="A80" s="9"/>
      <c r="B80" s="9"/>
      <c r="C80" s="9"/>
      <c r="D80" s="9"/>
      <c r="E80" s="9"/>
    </row>
    <row r="81">
      <c r="A81" s="9"/>
      <c r="B81" s="9"/>
      <c r="C81" s="9"/>
      <c r="D81" s="9"/>
      <c r="E81" s="9"/>
    </row>
    <row r="82">
      <c r="A82" s="9"/>
      <c r="B82" s="9"/>
      <c r="C82" s="9"/>
      <c r="D82" s="9"/>
      <c r="E82" s="9"/>
    </row>
    <row r="83">
      <c r="A83" s="9"/>
      <c r="B83" s="9"/>
      <c r="C83" s="9"/>
      <c r="D83" s="9"/>
      <c r="E83" s="9"/>
    </row>
    <row r="84">
      <c r="A84" s="9"/>
      <c r="B84" s="9"/>
      <c r="C84" s="9"/>
      <c r="D84" s="9"/>
      <c r="E84" s="9"/>
    </row>
    <row r="85">
      <c r="A85" s="9"/>
      <c r="B85" s="9"/>
      <c r="C85" s="9"/>
      <c r="D85" s="9"/>
      <c r="E85" s="9"/>
    </row>
    <row r="86">
      <c r="A86" s="9"/>
      <c r="B86" s="9"/>
      <c r="C86" s="9"/>
      <c r="D86" s="9"/>
      <c r="E86" s="9"/>
    </row>
    <row r="87">
      <c r="A87" s="9"/>
      <c r="B87" s="9"/>
      <c r="C87" s="9"/>
      <c r="D87" s="9"/>
      <c r="E87" s="9"/>
    </row>
    <row r="88">
      <c r="A88" s="9"/>
      <c r="B88" s="9"/>
      <c r="C88" s="9"/>
      <c r="D88" s="9"/>
      <c r="E88" s="9"/>
    </row>
    <row r="89">
      <c r="A89" s="9"/>
      <c r="B89" s="9"/>
      <c r="C89" s="9"/>
      <c r="D89" s="9"/>
      <c r="E89" s="9"/>
    </row>
    <row r="90">
      <c r="A90" s="9"/>
      <c r="B90" s="9"/>
      <c r="C90" s="9"/>
      <c r="D90" s="9"/>
      <c r="E90" s="9"/>
    </row>
    <row r="91">
      <c r="A91" s="9"/>
      <c r="B91" s="9"/>
      <c r="C91" s="9"/>
      <c r="D91" s="9"/>
      <c r="E91" s="9"/>
    </row>
    <row r="92">
      <c r="A92" s="152"/>
      <c r="B92" s="152"/>
      <c r="C92" s="152"/>
      <c r="D92" s="152"/>
      <c r="E92" s="152"/>
    </row>
    <row r="95" ht="21">
      <c r="A95" s="134" t="s">
        <v>231</v>
      </c>
      <c r="B95" s="134"/>
      <c r="C95" s="134"/>
      <c r="D95" s="134"/>
      <c r="E95" s="134"/>
    </row>
    <row r="96" ht="21">
      <c r="A96" s="134"/>
      <c r="B96" s="134"/>
      <c r="C96" s="134"/>
      <c r="D96" s="134"/>
      <c r="E96" s="134"/>
    </row>
    <row r="97">
      <c r="E97" s="141"/>
    </row>
    <row r="98">
      <c r="E98" s="141"/>
    </row>
    <row r="99">
      <c r="E99" s="141"/>
    </row>
    <row r="100">
      <c r="E100" s="141"/>
    </row>
    <row r="101">
      <c r="E101" s="141"/>
    </row>
    <row r="102">
      <c r="E102" s="141"/>
    </row>
    <row r="103" ht="21">
      <c r="E103" s="141"/>
      <c r="F103" s="134"/>
      <c r="G103" s="134"/>
      <c r="H103" s="134"/>
    </row>
    <row r="104" ht="21">
      <c r="E104" s="141"/>
      <c r="F104" s="134"/>
      <c r="G104" s="134"/>
      <c r="H104" s="134"/>
    </row>
    <row r="105">
      <c r="E105" s="141"/>
    </row>
    <row r="106">
      <c r="E106" s="141"/>
    </row>
    <row r="107">
      <c r="E107" s="141"/>
    </row>
    <row r="108">
      <c r="E108" s="141"/>
    </row>
    <row r="109">
      <c r="E109" s="141"/>
    </row>
    <row r="110">
      <c r="E110" s="141"/>
    </row>
    <row r="111">
      <c r="E111" s="141"/>
    </row>
    <row r="112">
      <c r="E112" s="141"/>
    </row>
    <row r="113">
      <c r="E113" s="141"/>
    </row>
    <row r="114">
      <c r="E114" s="141"/>
    </row>
    <row r="115">
      <c r="E115" s="141"/>
    </row>
    <row r="116">
      <c r="E116" s="141"/>
    </row>
    <row r="117">
      <c r="E117" s="141"/>
    </row>
    <row r="118">
      <c r="E118" s="141"/>
    </row>
    <row r="119">
      <c r="E119" s="141"/>
    </row>
    <row r="120">
      <c r="E120" s="141"/>
    </row>
    <row r="121">
      <c r="E121" s="141"/>
    </row>
    <row r="122">
      <c r="E122" s="141"/>
    </row>
    <row r="123">
      <c r="E123" s="141"/>
    </row>
    <row r="124">
      <c r="E124" s="141"/>
    </row>
    <row r="125">
      <c r="E125" s="141"/>
    </row>
    <row r="126">
      <c r="E126" s="141"/>
    </row>
    <row r="127">
      <c r="E127" s="141"/>
    </row>
    <row r="128">
      <c r="E128" s="141"/>
    </row>
    <row r="129">
      <c r="E129" s="141"/>
    </row>
    <row r="130">
      <c r="E130" s="141"/>
    </row>
    <row r="131">
      <c r="E131" s="141"/>
    </row>
    <row r="132">
      <c r="E132" s="141"/>
    </row>
    <row r="133">
      <c r="E133" s="141"/>
    </row>
    <row r="134">
      <c r="E134" s="141"/>
    </row>
    <row r="135">
      <c r="E135" s="141"/>
    </row>
    <row r="136">
      <c r="E136" s="141"/>
    </row>
    <row r="137">
      <c r="E137" s="141"/>
    </row>
    <row r="138">
      <c r="E138" s="141"/>
    </row>
    <row r="139">
      <c r="E139" s="141"/>
    </row>
    <row r="140">
      <c r="E140" s="141"/>
    </row>
    <row r="141">
      <c r="E141" s="141"/>
    </row>
    <row r="142">
      <c r="E142" s="141"/>
    </row>
    <row r="143">
      <c r="E143" s="141"/>
    </row>
    <row r="144">
      <c r="E144" s="141"/>
    </row>
    <row r="145">
      <c r="E145" s="141"/>
    </row>
    <row r="146">
      <c r="E146" s="141"/>
    </row>
    <row r="147">
      <c r="E147" s="141"/>
    </row>
    <row r="148">
      <c r="E148" s="141"/>
    </row>
    <row r="149">
      <c r="E149" s="141"/>
    </row>
    <row r="150">
      <c r="E150" s="141"/>
    </row>
    <row r="151">
      <c r="E151" s="141"/>
    </row>
    <row r="152">
      <c r="E152" s="141"/>
    </row>
    <row r="153">
      <c r="E153" s="141"/>
    </row>
    <row r="154">
      <c r="E154" s="141"/>
    </row>
    <row r="155">
      <c r="E155" s="141"/>
    </row>
    <row r="156">
      <c r="E156" s="141"/>
    </row>
    <row r="157">
      <c r="E157" s="141"/>
    </row>
    <row r="158">
      <c r="E158" s="141"/>
    </row>
    <row r="159">
      <c r="E159" s="141"/>
    </row>
    <row r="160">
      <c r="E160" s="141"/>
    </row>
    <row r="161">
      <c r="E161" s="141"/>
    </row>
    <row r="162">
      <c r="E162" s="141"/>
    </row>
    <row r="163">
      <c r="E163" s="141"/>
    </row>
    <row r="164">
      <c r="E164" s="141"/>
    </row>
    <row r="165">
      <c r="E165" s="141"/>
    </row>
    <row r="166">
      <c r="E166" s="141"/>
    </row>
    <row r="167">
      <c r="E167" s="141"/>
    </row>
    <row r="168">
      <c r="E168" s="141"/>
    </row>
    <row r="169">
      <c r="E169" s="141"/>
    </row>
    <row r="170">
      <c r="E170" s="141"/>
    </row>
    <row r="171">
      <c r="E171" s="141"/>
    </row>
    <row r="172">
      <c r="E172" s="141"/>
    </row>
    <row r="173">
      <c r="E173" s="141"/>
    </row>
    <row r="174">
      <c r="E174" s="141"/>
    </row>
    <row r="175">
      <c r="E175" s="141"/>
    </row>
    <row r="176">
      <c r="E176" s="141"/>
    </row>
    <row r="177">
      <c r="E177" s="141"/>
    </row>
    <row r="178">
      <c r="E178" s="141"/>
    </row>
    <row r="179">
      <c r="E179" s="141"/>
    </row>
    <row r="180">
      <c r="E180" s="141"/>
    </row>
    <row r="181">
      <c r="E181" s="141"/>
    </row>
    <row r="182">
      <c r="E182" s="141"/>
    </row>
    <row r="183">
      <c r="E183" s="141"/>
    </row>
    <row r="184">
      <c r="E184" s="141"/>
    </row>
    <row r="185">
      <c r="E185" s="141"/>
    </row>
    <row r="186">
      <c r="E186" s="141"/>
    </row>
    <row r="187">
      <c r="E187" s="141"/>
    </row>
    <row r="188">
      <c r="E188" s="141"/>
    </row>
    <row r="189">
      <c r="E189" s="141"/>
    </row>
    <row r="190">
      <c r="E190" s="141"/>
    </row>
    <row r="191">
      <c r="E191" s="141"/>
    </row>
    <row r="192">
      <c r="E192" s="141"/>
    </row>
    <row r="193">
      <c r="E193" s="141"/>
    </row>
    <row r="194">
      <c r="E194" s="141"/>
    </row>
    <row r="195">
      <c r="E195" s="141"/>
    </row>
    <row r="196">
      <c r="E196" s="141"/>
    </row>
    <row r="197">
      <c r="E197" s="141"/>
    </row>
    <row r="198">
      <c r="E198" s="141"/>
    </row>
    <row r="199">
      <c r="E199" s="141"/>
    </row>
    <row r="200">
      <c r="E200" s="141"/>
    </row>
    <row r="201">
      <c r="E201" s="141"/>
    </row>
    <row r="202">
      <c r="E202" s="141"/>
    </row>
    <row r="203">
      <c r="E203" s="141"/>
    </row>
    <row r="204">
      <c r="E204" s="141"/>
    </row>
    <row r="205">
      <c r="E205" s="141"/>
    </row>
    <row r="206">
      <c r="E206" s="141"/>
    </row>
    <row r="207">
      <c r="E207" s="141"/>
    </row>
    <row r="208">
      <c r="E208" s="141"/>
    </row>
    <row r="209">
      <c r="E209" s="141"/>
    </row>
    <row r="210">
      <c r="E210" s="141"/>
    </row>
    <row r="211">
      <c r="E211" s="141"/>
    </row>
    <row r="212">
      <c r="E212" s="141"/>
    </row>
    <row r="213">
      <c r="E213" s="141"/>
    </row>
    <row r="214">
      <c r="E214" s="141"/>
    </row>
    <row r="215">
      <c r="E215" s="141"/>
    </row>
    <row r="216">
      <c r="E216" s="141"/>
    </row>
    <row r="217">
      <c r="E217" s="141"/>
    </row>
    <row r="218">
      <c r="E218" s="141"/>
    </row>
    <row r="219">
      <c r="E219" s="141"/>
    </row>
    <row r="220">
      <c r="E220" s="141"/>
    </row>
    <row r="221">
      <c r="E221" s="141"/>
    </row>
    <row r="222">
      <c r="E222" s="141"/>
    </row>
    <row r="223">
      <c r="E223" s="141"/>
    </row>
    <row r="224">
      <c r="E224" s="141"/>
    </row>
    <row r="225">
      <c r="E225" s="141"/>
    </row>
    <row r="226">
      <c r="E226" s="141"/>
    </row>
    <row r="227">
      <c r="E227" s="141"/>
    </row>
    <row r="228">
      <c r="E228" s="141"/>
    </row>
    <row r="229">
      <c r="E229" s="141"/>
    </row>
    <row r="230">
      <c r="E230" s="141"/>
    </row>
    <row r="231">
      <c r="E231" s="141"/>
    </row>
    <row r="232">
      <c r="E232" s="141"/>
    </row>
    <row r="233">
      <c r="E233" s="141"/>
    </row>
    <row r="234">
      <c r="E234" s="141"/>
    </row>
    <row r="235">
      <c r="E235" s="141"/>
    </row>
    <row r="236">
      <c r="E236" s="141"/>
    </row>
    <row r="237">
      <c r="E237" s="141"/>
    </row>
    <row r="238">
      <c r="E238" s="141"/>
    </row>
    <row r="239">
      <c r="E239" s="141"/>
    </row>
    <row r="240">
      <c r="E240" s="141"/>
    </row>
    <row r="241">
      <c r="E241" s="141"/>
    </row>
    <row r="242">
      <c r="E242" s="141"/>
    </row>
    <row r="243">
      <c r="E243" s="141"/>
    </row>
    <row r="244">
      <c r="E244" s="141"/>
    </row>
    <row r="245">
      <c r="E245" s="141"/>
    </row>
    <row r="246">
      <c r="E246" s="141"/>
    </row>
    <row r="247">
      <c r="E247" s="141"/>
    </row>
    <row r="248">
      <c r="E248" s="141"/>
    </row>
    <row r="249">
      <c r="E249" s="141"/>
    </row>
    <row r="250">
      <c r="E250" s="141"/>
    </row>
    <row r="251">
      <c r="E251" s="141"/>
    </row>
    <row r="252">
      <c r="E252" s="141"/>
    </row>
    <row r="253">
      <c r="E253" s="141"/>
    </row>
    <row r="254">
      <c r="E254" s="141"/>
    </row>
    <row r="255">
      <c r="E255" s="141"/>
    </row>
    <row r="256">
      <c r="E256" s="141"/>
    </row>
    <row r="257">
      <c r="E257" s="141"/>
    </row>
    <row r="258">
      <c r="E258" s="141"/>
    </row>
    <row r="259">
      <c r="E259" s="141"/>
    </row>
    <row r="260">
      <c r="E260" s="141"/>
    </row>
    <row r="261">
      <c r="E261" s="141"/>
    </row>
    <row r="262">
      <c r="E262" s="141"/>
    </row>
    <row r="263">
      <c r="E263" s="141"/>
    </row>
    <row r="264">
      <c r="E264" s="141"/>
    </row>
    <row r="265">
      <c r="E265" s="141"/>
    </row>
    <row r="266">
      <c r="E266" s="141"/>
    </row>
    <row r="267">
      <c r="E267" s="141"/>
    </row>
    <row r="268">
      <c r="E268" s="141"/>
    </row>
    <row r="269">
      <c r="E269" s="141"/>
    </row>
    <row r="270">
      <c r="E270" s="141"/>
    </row>
    <row r="271">
      <c r="E271" s="141"/>
    </row>
    <row r="272">
      <c r="E272" s="141"/>
    </row>
    <row r="273">
      <c r="E273" s="141"/>
    </row>
    <row r="274">
      <c r="E274" s="141"/>
    </row>
    <row r="275">
      <c r="E275" s="141"/>
    </row>
    <row r="276">
      <c r="E276" s="141"/>
    </row>
    <row r="277">
      <c r="E277" s="141"/>
    </row>
    <row r="278">
      <c r="E278" s="141"/>
    </row>
    <row r="279">
      <c r="E279" s="141"/>
    </row>
    <row r="280">
      <c r="E280" s="141"/>
    </row>
    <row r="281">
      <c r="E281" s="141"/>
    </row>
    <row r="282">
      <c r="E282" s="141"/>
    </row>
    <row r="283">
      <c r="E283" s="141"/>
    </row>
    <row r="284">
      <c r="E284" s="141"/>
    </row>
  </sheetData>
  <mergeCells count="2">
    <mergeCell ref="A2:E2"/>
    <mergeCell ref="A3:E3"/>
  </mergeCells>
  <dataValidations count="3" disablePrompts="0">
    <dataValidation sqref="A6:A92" type="list" allowBlank="1" errorStyle="stop" imeMode="noControl" operator="between" showDropDown="0" showErrorMessage="1" showInputMessage="1">
      <formula1>'Р 1. "Общие сведения"'!$I$7:$I$180</formula1>
    </dataValidation>
    <dataValidation sqref="E14:E92" type="list" allowBlank="1" errorStyle="stop" imeMode="noControl" operator="between" showDropDown="0" showErrorMessage="1" showInputMessage="1">
      <formula1>Справочники!$F$11:$F$13</formula1>
    </dataValidation>
    <dataValidation sqref="E6:E13" type="list" allowBlank="1" errorStyle="stop" imeMode="noControl" operator="between" showDropDown="0" showErrorMessage="1" showInputMessage="1">
      <formula1>Справочники!#REF!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96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3A006A-00B7-4CC7-8DE9-00D200C900C5}" type="list" allowBlank="1" errorStyle="stop" imeMode="noControl" operator="between" showDropDown="0" showErrorMessage="1" showInputMessage="1">
          <x14:formula1>
            <xm:f>$F$11:$F$14</xm:f>
          </x14:formula1>
          <xm:sqref>E97:E284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8">
    <outlinePr applyStyles="0" summaryBelow="1" summaryRight="1" showOutlineSymbols="1"/>
    <pageSetUpPr autoPageBreaks="1" fitToPage="0"/>
  </sheetPr>
  <sheetViews>
    <sheetView zoomScale="100" workbookViewId="0">
      <selection activeCell="C38" activeCellId="0" sqref="C38"/>
    </sheetView>
  </sheetViews>
  <sheetFormatPr defaultRowHeight="14.25"/>
  <cols>
    <col customWidth="1" min="1" max="1" style="9" width="45.140625"/>
    <col customWidth="1" min="2" max="2" style="9" width="55.140625"/>
    <col customWidth="1" min="3" max="3" style="9" width="24.7109375"/>
    <col customWidth="1" min="4" max="4" style="9" width="12.140625"/>
    <col customWidth="1" min="5" max="8" style="9" width="11.85546875"/>
    <col customWidth="1" min="9" max="9" style="9" width="20"/>
    <col customWidth="1" min="10" max="10" style="9" width="13.140625"/>
    <col min="11" max="16384" style="9" width="9.140625"/>
  </cols>
  <sheetData>
    <row r="1" ht="15">
      <c r="A1" s="153"/>
      <c r="B1" s="153"/>
      <c r="C1" s="153"/>
      <c r="D1" s="153"/>
      <c r="E1" s="153"/>
      <c r="F1" s="153"/>
      <c r="G1" s="153"/>
      <c r="H1" s="153"/>
      <c r="I1" s="153"/>
      <c r="J1" s="153"/>
    </row>
    <row r="2" ht="15.75">
      <c r="A2" s="154" t="s">
        <v>252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5.75">
      <c r="A3" s="155" t="s">
        <v>253</v>
      </c>
      <c r="B3" s="155"/>
      <c r="C3" s="155"/>
      <c r="D3" s="155"/>
      <c r="E3" s="155"/>
      <c r="F3" s="155"/>
      <c r="G3" s="155"/>
      <c r="H3" s="155"/>
      <c r="I3" s="155"/>
      <c r="J3" s="155"/>
    </row>
    <row r="4" ht="15">
      <c r="A4" s="153"/>
      <c r="B4" s="153"/>
      <c r="C4" s="153"/>
      <c r="D4" s="153"/>
      <c r="E4" s="153"/>
      <c r="F4" s="153"/>
      <c r="G4" s="153"/>
      <c r="H4" s="153"/>
      <c r="I4" s="153"/>
      <c r="J4" s="153"/>
    </row>
    <row r="5" ht="15" customHeight="1">
      <c r="A5" s="156" t="s">
        <v>243</v>
      </c>
      <c r="B5" s="157" t="s">
        <v>254</v>
      </c>
      <c r="C5" s="140" t="s">
        <v>255</v>
      </c>
      <c r="D5" s="158"/>
      <c r="E5" s="158"/>
      <c r="F5" s="158"/>
      <c r="G5" s="158"/>
      <c r="H5" s="159"/>
      <c r="I5" s="140" t="s">
        <v>256</v>
      </c>
      <c r="J5" s="160"/>
    </row>
    <row r="6" ht="30" customHeight="1">
      <c r="A6" s="161"/>
      <c r="B6" s="162"/>
      <c r="C6" s="163" t="s">
        <v>257</v>
      </c>
      <c r="D6" s="163" t="s">
        <v>258</v>
      </c>
      <c r="E6" s="163" t="s">
        <v>259</v>
      </c>
      <c r="F6" s="164" t="s">
        <v>260</v>
      </c>
      <c r="G6" s="165"/>
      <c r="H6" s="166"/>
      <c r="I6" s="163" t="s">
        <v>261</v>
      </c>
      <c r="J6" s="167" t="s">
        <v>260</v>
      </c>
    </row>
    <row r="7" ht="60">
      <c r="A7" s="161"/>
      <c r="B7" s="162"/>
      <c r="C7" s="168"/>
      <c r="D7" s="168"/>
      <c r="E7" s="168"/>
      <c r="F7" s="163" t="s">
        <v>262</v>
      </c>
      <c r="G7" s="163" t="s">
        <v>263</v>
      </c>
      <c r="H7" s="163" t="s">
        <v>264</v>
      </c>
      <c r="I7" s="168"/>
      <c r="J7" s="169"/>
    </row>
    <row r="8" ht="15.75" hidden="1">
      <c r="A8" s="170" t="s">
        <v>218</v>
      </c>
      <c r="B8" s="153" t="s">
        <v>219</v>
      </c>
      <c r="C8" s="153" t="s">
        <v>220</v>
      </c>
      <c r="D8" s="153" t="s">
        <v>265</v>
      </c>
      <c r="E8" s="94" t="s">
        <v>266</v>
      </c>
      <c r="F8" s="94" t="s">
        <v>267</v>
      </c>
      <c r="G8" s="94" t="s">
        <v>268</v>
      </c>
      <c r="H8" s="94" t="s">
        <v>269</v>
      </c>
      <c r="I8" s="153" t="s">
        <v>270</v>
      </c>
      <c r="J8" s="171" t="s">
        <v>271</v>
      </c>
    </row>
    <row r="9" ht="15">
      <c r="A9" s="170"/>
      <c r="B9" s="153"/>
      <c r="C9" s="153"/>
      <c r="D9" s="153"/>
      <c r="E9" s="94"/>
      <c r="F9" s="94"/>
      <c r="G9" s="94"/>
      <c r="H9" s="94"/>
      <c r="I9" s="153"/>
      <c r="J9" s="171"/>
    </row>
    <row r="10" ht="15">
      <c r="A10" s="170"/>
      <c r="B10" s="153"/>
      <c r="C10" s="153"/>
      <c r="D10" s="153"/>
      <c r="E10" s="94"/>
      <c r="F10" s="94"/>
      <c r="G10" s="94"/>
      <c r="H10" s="94"/>
      <c r="I10" s="153"/>
      <c r="J10" s="171"/>
    </row>
    <row r="11">
      <c r="A11" s="172"/>
      <c r="B11" s="173"/>
      <c r="E11" s="92"/>
      <c r="F11" s="92"/>
      <c r="G11" s="92"/>
      <c r="H11" s="92"/>
      <c r="J11" s="174"/>
    </row>
    <row r="12">
      <c r="A12" s="172"/>
      <c r="B12" s="173"/>
      <c r="E12" s="92"/>
      <c r="F12" s="92"/>
      <c r="G12" s="92"/>
      <c r="H12" s="92"/>
      <c r="J12" s="174"/>
    </row>
    <row r="13">
      <c r="A13" s="172"/>
      <c r="B13" s="173"/>
      <c r="E13" s="92"/>
      <c r="F13" s="92"/>
      <c r="G13" s="92"/>
      <c r="H13" s="92"/>
      <c r="J13" s="174"/>
    </row>
    <row r="14">
      <c r="A14" s="172"/>
      <c r="B14" s="173"/>
      <c r="E14" s="92"/>
      <c r="F14" s="92"/>
      <c r="G14" s="92"/>
      <c r="H14" s="92"/>
      <c r="J14" s="174"/>
    </row>
    <row r="15">
      <c r="A15" s="172"/>
      <c r="B15" s="173"/>
      <c r="E15" s="92"/>
      <c r="F15" s="92"/>
      <c r="G15" s="92"/>
      <c r="H15" s="92"/>
      <c r="J15" s="174"/>
    </row>
    <row r="16">
      <c r="A16" s="172"/>
      <c r="B16" s="173"/>
      <c r="E16" s="92"/>
      <c r="F16" s="92"/>
      <c r="G16" s="92"/>
      <c r="H16" s="92"/>
      <c r="J16" s="174"/>
    </row>
    <row r="17">
      <c r="A17" s="172"/>
      <c r="B17" s="173"/>
      <c r="E17" s="92"/>
      <c r="F17" s="92"/>
      <c r="G17" s="92"/>
      <c r="H17" s="92"/>
      <c r="J17" s="174"/>
    </row>
    <row r="18">
      <c r="A18" s="172"/>
      <c r="B18" s="173"/>
      <c r="E18" s="92"/>
      <c r="F18" s="92"/>
      <c r="G18" s="92"/>
      <c r="H18" s="92"/>
      <c r="J18" s="174"/>
    </row>
    <row r="19">
      <c r="A19" s="172"/>
      <c r="B19" s="173"/>
      <c r="E19" s="92"/>
      <c r="F19" s="92"/>
      <c r="G19" s="92"/>
      <c r="H19" s="92"/>
      <c r="J19" s="174"/>
    </row>
    <row r="20">
      <c r="A20" s="172"/>
      <c r="B20" s="173"/>
      <c r="E20" s="92"/>
      <c r="F20" s="92"/>
      <c r="G20" s="92"/>
      <c r="H20" s="92"/>
      <c r="J20" s="174"/>
    </row>
    <row r="21">
      <c r="A21" s="172"/>
      <c r="B21" s="173"/>
      <c r="E21" s="92"/>
      <c r="F21" s="92"/>
      <c r="G21" s="92"/>
      <c r="H21" s="92"/>
      <c r="J21" s="174"/>
    </row>
    <row r="22">
      <c r="A22" s="172"/>
      <c r="B22" s="173"/>
      <c r="E22" s="92"/>
      <c r="F22" s="92"/>
      <c r="G22" s="92"/>
      <c r="H22" s="92"/>
      <c r="J22" s="174"/>
    </row>
    <row r="23">
      <c r="A23" s="172"/>
      <c r="B23" s="173"/>
      <c r="E23" s="92"/>
      <c r="F23" s="92"/>
      <c r="G23" s="92"/>
      <c r="H23" s="92"/>
      <c r="J23" s="174"/>
    </row>
    <row r="24">
      <c r="A24" s="172"/>
      <c r="B24" s="173"/>
      <c r="E24" s="92"/>
      <c r="F24" s="92"/>
      <c r="G24" s="92"/>
      <c r="H24" s="92"/>
      <c r="J24" s="174"/>
    </row>
    <row r="25">
      <c r="A25" s="172"/>
      <c r="B25" s="173"/>
      <c r="E25" s="92"/>
      <c r="F25" s="92"/>
      <c r="G25" s="92"/>
      <c r="H25" s="92"/>
      <c r="J25" s="174"/>
    </row>
    <row r="26">
      <c r="A26" s="172"/>
      <c r="B26" s="173"/>
      <c r="E26" s="92"/>
      <c r="F26" s="92"/>
      <c r="G26" s="92"/>
      <c r="H26" s="92"/>
      <c r="J26" s="174"/>
    </row>
    <row r="27">
      <c r="A27" s="172"/>
      <c r="B27" s="173"/>
      <c r="E27" s="92"/>
      <c r="F27" s="92"/>
      <c r="G27" s="92"/>
      <c r="H27" s="92"/>
      <c r="J27" s="174"/>
    </row>
    <row r="28">
      <c r="A28" s="172"/>
      <c r="B28" s="173"/>
      <c r="E28" s="92"/>
      <c r="F28" s="92"/>
      <c r="G28" s="92"/>
      <c r="H28" s="92"/>
      <c r="J28" s="174"/>
    </row>
    <row r="29">
      <c r="A29" s="172"/>
      <c r="B29" s="173"/>
      <c r="E29" s="92"/>
      <c r="F29" s="92"/>
      <c r="G29" s="92"/>
      <c r="H29" s="92"/>
      <c r="J29" s="174"/>
    </row>
    <row r="30">
      <c r="A30" s="172"/>
      <c r="B30" s="173"/>
      <c r="E30" s="92"/>
      <c r="F30" s="92"/>
      <c r="G30" s="92"/>
      <c r="H30" s="92"/>
      <c r="J30" s="174"/>
    </row>
    <row r="31">
      <c r="A31" s="172"/>
      <c r="B31" s="173"/>
      <c r="E31" s="92"/>
      <c r="F31" s="92"/>
      <c r="G31" s="92"/>
      <c r="H31" s="92"/>
      <c r="J31" s="174"/>
    </row>
    <row r="32">
      <c r="A32" s="172"/>
      <c r="B32" s="173"/>
      <c r="E32" s="92"/>
      <c r="F32" s="92"/>
      <c r="G32" s="92"/>
      <c r="H32" s="92"/>
      <c r="J32" s="174"/>
    </row>
    <row r="33">
      <c r="A33" s="172"/>
      <c r="B33" s="173"/>
      <c r="E33" s="92"/>
      <c r="F33" s="92"/>
      <c r="G33" s="92"/>
      <c r="H33" s="92"/>
      <c r="J33" s="174"/>
    </row>
    <row r="34">
      <c r="A34" s="172"/>
      <c r="B34" s="173"/>
      <c r="E34" s="92"/>
      <c r="F34" s="92"/>
      <c r="G34" s="92"/>
      <c r="H34" s="92"/>
      <c r="J34" s="174"/>
    </row>
    <row r="35">
      <c r="A35" s="172"/>
      <c r="B35" s="173"/>
      <c r="J35" s="174"/>
    </row>
    <row r="36">
      <c r="A36" s="172"/>
      <c r="B36" s="173"/>
      <c r="J36" s="174"/>
    </row>
    <row r="37">
      <c r="A37" s="172"/>
      <c r="B37" s="173"/>
      <c r="J37" s="174"/>
    </row>
    <row r="38">
      <c r="A38" s="172"/>
      <c r="B38" s="173"/>
      <c r="J38" s="174"/>
    </row>
    <row r="39">
      <c r="A39" s="172"/>
      <c r="B39" s="173"/>
      <c r="J39" s="174"/>
    </row>
    <row r="40">
      <c r="A40" s="172"/>
      <c r="B40" s="173"/>
      <c r="J40" s="174"/>
    </row>
    <row r="41">
      <c r="A41" s="172"/>
      <c r="B41" s="173"/>
      <c r="J41" s="174"/>
    </row>
    <row r="42">
      <c r="A42" s="172"/>
      <c r="B42" s="173"/>
      <c r="J42" s="174"/>
    </row>
    <row r="43">
      <c r="A43" s="172"/>
      <c r="B43" s="173"/>
      <c r="J43" s="174"/>
    </row>
    <row r="44">
      <c r="A44" s="172"/>
      <c r="B44" s="173"/>
      <c r="J44" s="174"/>
    </row>
    <row r="45">
      <c r="A45" s="172"/>
      <c r="B45" s="173"/>
      <c r="J45" s="174"/>
    </row>
    <row r="46">
      <c r="A46" s="172"/>
      <c r="B46" s="173"/>
      <c r="J46" s="174"/>
    </row>
    <row r="47">
      <c r="A47" s="172"/>
      <c r="B47" s="173"/>
      <c r="J47" s="174"/>
    </row>
    <row r="48">
      <c r="A48" s="172"/>
      <c r="B48" s="173"/>
      <c r="J48" s="174"/>
    </row>
    <row r="49">
      <c r="A49" s="172"/>
      <c r="B49" s="173"/>
      <c r="J49" s="174"/>
    </row>
    <row r="50">
      <c r="A50" s="172"/>
      <c r="B50" s="173"/>
      <c r="J50" s="174"/>
    </row>
    <row r="51">
      <c r="A51" s="172"/>
      <c r="B51" s="173"/>
      <c r="J51" s="174"/>
    </row>
    <row r="52">
      <c r="A52" s="172"/>
      <c r="B52" s="173"/>
      <c r="J52" s="174"/>
    </row>
    <row r="53">
      <c r="A53" s="172"/>
      <c r="B53" s="173"/>
      <c r="J53" s="174"/>
    </row>
    <row r="54">
      <c r="A54" s="172"/>
      <c r="B54" s="173"/>
      <c r="J54" s="174"/>
    </row>
    <row r="55">
      <c r="A55" s="172"/>
      <c r="B55" s="173"/>
      <c r="J55" s="174"/>
    </row>
    <row r="56">
      <c r="A56" s="172"/>
      <c r="B56" s="173"/>
      <c r="J56" s="174"/>
    </row>
    <row r="57">
      <c r="A57" s="172"/>
      <c r="B57" s="173"/>
      <c r="J57" s="174"/>
    </row>
    <row r="58">
      <c r="A58" s="172"/>
      <c r="B58" s="173"/>
      <c r="J58" s="174"/>
    </row>
    <row r="59">
      <c r="A59" s="172"/>
      <c r="B59" s="173"/>
      <c r="J59" s="174"/>
    </row>
    <row r="60">
      <c r="A60" s="172"/>
      <c r="B60" s="173"/>
      <c r="J60" s="174"/>
    </row>
    <row r="61">
      <c r="A61" s="172"/>
      <c r="B61" s="173"/>
      <c r="J61" s="174"/>
    </row>
    <row r="62">
      <c r="A62" s="172"/>
      <c r="B62" s="173"/>
      <c r="J62" s="174"/>
    </row>
    <row r="63">
      <c r="A63" s="172"/>
      <c r="B63" s="173"/>
      <c r="J63" s="174"/>
    </row>
    <row r="64">
      <c r="A64" s="172"/>
      <c r="B64" s="173"/>
      <c r="J64" s="174"/>
    </row>
    <row r="65">
      <c r="A65" s="172"/>
      <c r="B65" s="173"/>
      <c r="J65" s="174"/>
    </row>
    <row r="66">
      <c r="A66" s="172"/>
      <c r="B66" s="173"/>
      <c r="J66" s="174"/>
    </row>
    <row r="67">
      <c r="A67" s="172"/>
      <c r="B67" s="173"/>
      <c r="J67" s="174"/>
    </row>
    <row r="68">
      <c r="A68" s="172"/>
      <c r="B68" s="173"/>
      <c r="J68" s="174"/>
    </row>
    <row r="69">
      <c r="A69" s="172"/>
      <c r="B69" s="173"/>
      <c r="J69" s="174"/>
    </row>
    <row r="70">
      <c r="A70" s="172"/>
      <c r="B70" s="173"/>
      <c r="J70" s="174"/>
    </row>
    <row r="71">
      <c r="A71" s="172"/>
      <c r="B71" s="173"/>
      <c r="J71" s="174"/>
    </row>
    <row r="72">
      <c r="A72" s="172"/>
      <c r="B72" s="173"/>
      <c r="J72" s="174"/>
    </row>
    <row r="73">
      <c r="A73" s="172"/>
      <c r="B73" s="173"/>
      <c r="J73" s="174"/>
    </row>
    <row r="74">
      <c r="A74" s="172"/>
      <c r="B74" s="173"/>
      <c r="J74" s="174"/>
    </row>
    <row r="75">
      <c r="A75" s="172"/>
      <c r="B75" s="173"/>
      <c r="J75" s="174"/>
    </row>
    <row r="76">
      <c r="A76" s="172"/>
      <c r="B76" s="173"/>
      <c r="J76" s="174"/>
    </row>
    <row r="77">
      <c r="A77" s="172"/>
      <c r="B77" s="173"/>
      <c r="J77" s="174"/>
    </row>
    <row r="78">
      <c r="A78" s="172"/>
      <c r="B78" s="173"/>
      <c r="J78" s="174"/>
    </row>
    <row r="79">
      <c r="A79" s="172"/>
      <c r="B79" s="173"/>
      <c r="J79" s="174"/>
    </row>
    <row r="80">
      <c r="A80" s="172"/>
      <c r="B80" s="173"/>
      <c r="J80" s="174"/>
    </row>
    <row r="81">
      <c r="A81" s="172"/>
      <c r="B81" s="173"/>
      <c r="J81" s="174"/>
    </row>
    <row r="82">
      <c r="A82" s="172"/>
      <c r="B82" s="173"/>
      <c r="J82" s="174"/>
    </row>
    <row r="83">
      <c r="A83" s="172"/>
      <c r="B83" s="173"/>
      <c r="J83" s="174"/>
    </row>
    <row r="84">
      <c r="A84" s="172"/>
      <c r="B84" s="173"/>
      <c r="J84" s="174"/>
    </row>
    <row r="85">
      <c r="A85" s="172"/>
      <c r="B85" s="173"/>
      <c r="J85" s="174"/>
    </row>
    <row r="86">
      <c r="A86" s="172"/>
      <c r="B86" s="173"/>
      <c r="J86" s="174"/>
    </row>
    <row r="87">
      <c r="A87" s="172"/>
      <c r="B87" s="173"/>
      <c r="J87" s="174"/>
    </row>
    <row r="88">
      <c r="A88" s="172"/>
      <c r="B88" s="173"/>
      <c r="J88" s="174"/>
    </row>
    <row r="89">
      <c r="A89" s="172"/>
      <c r="B89" s="173"/>
      <c r="J89" s="174"/>
    </row>
    <row r="90">
      <c r="A90" s="172"/>
      <c r="B90" s="173"/>
      <c r="J90" s="174"/>
    </row>
    <row r="91">
      <c r="A91" s="172"/>
      <c r="B91" s="173"/>
      <c r="J91" s="174"/>
    </row>
    <row r="92">
      <c r="A92" s="172"/>
      <c r="B92" s="173"/>
      <c r="J92" s="174"/>
    </row>
    <row r="93">
      <c r="A93" s="172"/>
      <c r="B93" s="173"/>
      <c r="J93" s="174"/>
    </row>
    <row r="94">
      <c r="A94" s="172"/>
      <c r="B94" s="173"/>
      <c r="J94" s="174"/>
    </row>
    <row r="95">
      <c r="A95" s="172"/>
      <c r="B95" s="173"/>
      <c r="J95" s="174"/>
    </row>
    <row r="96">
      <c r="A96" s="172"/>
      <c r="B96" s="173"/>
      <c r="J96" s="174"/>
    </row>
    <row r="97">
      <c r="A97" s="172"/>
      <c r="B97" s="173"/>
      <c r="J97" s="174"/>
    </row>
    <row r="98">
      <c r="A98" s="172"/>
      <c r="B98" s="173"/>
      <c r="J98" s="174"/>
    </row>
    <row r="99">
      <c r="A99" s="172"/>
      <c r="B99" s="173"/>
      <c r="J99" s="174"/>
    </row>
    <row r="100">
      <c r="A100" s="172"/>
      <c r="B100" s="173"/>
      <c r="J100" s="174"/>
    </row>
    <row r="101">
      <c r="A101" s="172"/>
      <c r="B101" s="173"/>
      <c r="J101" s="174"/>
    </row>
    <row r="102">
      <c r="A102" s="172"/>
      <c r="B102" s="173"/>
      <c r="J102" s="174"/>
    </row>
    <row r="103">
      <c r="A103" s="175"/>
      <c r="B103" s="176"/>
      <c r="C103" s="177"/>
      <c r="D103" s="177"/>
      <c r="E103" s="177"/>
      <c r="F103" s="177"/>
      <c r="G103" s="177"/>
      <c r="H103" s="177"/>
      <c r="I103" s="177"/>
      <c r="J103" s="178"/>
    </row>
    <row r="106" ht="21">
      <c r="A106" s="134" t="s">
        <v>231</v>
      </c>
      <c r="B106" s="134"/>
      <c r="C106" s="134"/>
      <c r="D106" s="134"/>
      <c r="E106" s="134"/>
      <c r="F106" s="134"/>
      <c r="G106" s="134"/>
      <c r="H106" s="134"/>
    </row>
    <row r="107" ht="21">
      <c r="A107" s="134" t="s">
        <v>272</v>
      </c>
      <c r="B107" s="134"/>
      <c r="C107" s="134"/>
      <c r="D107" s="134"/>
      <c r="E107" s="134"/>
      <c r="F107" s="134"/>
      <c r="G107" s="134"/>
      <c r="H107" s="134"/>
    </row>
  </sheetData>
  <mergeCells count="14">
    <mergeCell ref="A2:J2"/>
    <mergeCell ref="A3:J3"/>
    <mergeCell ref="A5:A7"/>
    <mergeCell ref="B5:B7"/>
    <mergeCell ref="C5:H5"/>
    <mergeCell ref="I5:J5"/>
    <mergeCell ref="C6:C7"/>
    <mergeCell ref="D6:D7"/>
    <mergeCell ref="E6:E7"/>
    <mergeCell ref="F6:H6"/>
    <mergeCell ref="I6:I7"/>
    <mergeCell ref="J6:J7"/>
    <mergeCell ref="A106:H106"/>
    <mergeCell ref="A107:H107"/>
  </mergeCells>
  <dataValidations count="1" disablePrompts="0">
    <dataValidation sqref="A9:A103" type="list" allowBlank="1" errorStyle="stop" imeMode="noControl" operator="between" showDropDown="0" showErrorMessage="1" showInputMessage="1">
      <formula1>'Р 1. "Общие сведения"'!$I$7:$I$180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0" copies="1"/>
  <headerFooter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9">
    <outlinePr applyStyles="0" summaryBelow="1" summaryRight="1" showOutlineSymbols="1"/>
    <pageSetUpPr autoPageBreaks="1" fitToPage="0"/>
  </sheetPr>
  <sheetViews>
    <sheetView view="pageBreakPreview" topLeftCell="A4" zoomScale="100" workbookViewId="0">
      <selection activeCell="B12" activeCellId="0" sqref="B12"/>
    </sheetView>
  </sheetViews>
  <sheetFormatPr defaultColWidth="39.28515625" defaultRowHeight="14.25"/>
  <cols>
    <col min="1" max="1" style="97" width="39.28515625"/>
    <col customWidth="1" min="2" max="2" style="97" width="22.28515625"/>
    <col customWidth="1" min="3" max="3" style="97" width="24.140625"/>
    <col customWidth="1" min="4" max="4" style="97" width="25"/>
    <col customWidth="1" min="5" max="7" style="97" width="11.140625"/>
    <col customWidth="1" min="8" max="8" style="97" width="42.7109375"/>
    <col customWidth="1" min="9" max="7391" style="97" width="11.140625"/>
    <col min="7392" max="16384" style="97" width="39.28515625"/>
  </cols>
  <sheetData>
    <row r="2" ht="15">
      <c r="A2" s="179"/>
      <c r="B2" s="179"/>
      <c r="C2" s="179"/>
      <c r="D2" s="179"/>
    </row>
    <row r="3" ht="15.75">
      <c r="A3" s="154" t="s">
        <v>100</v>
      </c>
      <c r="B3" s="154"/>
      <c r="C3" s="154"/>
      <c r="D3" s="154"/>
    </row>
    <row r="4" ht="15">
      <c r="A4" s="94"/>
      <c r="B4" s="94"/>
      <c r="C4" s="94"/>
      <c r="D4" s="94"/>
    </row>
    <row r="5" ht="15">
      <c r="A5" s="179"/>
      <c r="B5" s="179"/>
      <c r="C5" s="179"/>
      <c r="D5" s="179"/>
    </row>
    <row r="6" ht="30" customHeight="1">
      <c r="A6" s="180" t="s">
        <v>273</v>
      </c>
      <c r="B6" s="140" t="s">
        <v>274</v>
      </c>
      <c r="C6" s="158"/>
      <c r="D6" s="160"/>
    </row>
    <row r="7" ht="36" customHeight="1">
      <c r="A7" s="181"/>
      <c r="B7" s="123" t="s">
        <v>275</v>
      </c>
      <c r="C7" s="182" t="s">
        <v>276</v>
      </c>
      <c r="D7" s="182" t="s">
        <v>277</v>
      </c>
    </row>
    <row r="8" ht="15.75" hidden="1">
      <c r="A8" s="183"/>
      <c r="B8" s="179"/>
      <c r="C8" s="179"/>
      <c r="D8" s="184"/>
    </row>
    <row r="9" ht="15">
      <c r="A9" s="183" t="s">
        <v>278</v>
      </c>
      <c r="B9" s="185">
        <v>83.400000000000006</v>
      </c>
      <c r="C9" s="185">
        <v>83.400000000000006</v>
      </c>
      <c r="D9" s="185">
        <v>83.400000000000006</v>
      </c>
    </row>
    <row r="10" ht="15">
      <c r="A10" s="183" t="s">
        <v>248</v>
      </c>
      <c r="B10" s="186">
        <v>165</v>
      </c>
      <c r="C10" s="186">
        <v>165</v>
      </c>
      <c r="D10" s="186">
        <v>165</v>
      </c>
    </row>
    <row r="11" ht="30">
      <c r="A11" s="183" t="s">
        <v>279</v>
      </c>
      <c r="B11" s="186">
        <v>1.6000000000000001</v>
      </c>
      <c r="C11" s="186">
        <v>1.6000000000000001</v>
      </c>
      <c r="D11" s="186">
        <v>1.6000000000000001</v>
      </c>
    </row>
    <row r="12" ht="30">
      <c r="A12" s="183" t="s">
        <v>228</v>
      </c>
      <c r="B12" s="186">
        <v>13.5</v>
      </c>
      <c r="C12" s="186">
        <v>13.5</v>
      </c>
      <c r="D12" s="186">
        <v>13.5</v>
      </c>
    </row>
    <row r="13" ht="30">
      <c r="A13" s="183" t="s">
        <v>280</v>
      </c>
      <c r="B13" s="186">
        <v>65.5</v>
      </c>
      <c r="C13" s="186">
        <v>65.5</v>
      </c>
      <c r="D13" s="186">
        <v>65.5</v>
      </c>
      <c r="H13" s="187"/>
    </row>
    <row r="14" ht="15">
      <c r="A14" s="183" t="s">
        <v>281</v>
      </c>
      <c r="B14" s="188">
        <f>SUBTOTAL(109,B9:B13)</f>
        <v>329</v>
      </c>
      <c r="C14" s="188">
        <f>SUBTOTAL(109,C9:C13)</f>
        <v>329</v>
      </c>
      <c r="D14" s="188">
        <f>SUBTOTAL(109,D9:D13)</f>
        <v>329</v>
      </c>
    </row>
    <row r="15" ht="15">
      <c r="A15" s="183"/>
      <c r="B15" s="188"/>
      <c r="C15" s="188"/>
      <c r="D15" s="188"/>
    </row>
    <row r="16" ht="15">
      <c r="A16" s="183"/>
      <c r="B16" s="188"/>
      <c r="C16" s="188"/>
      <c r="D16" s="189"/>
    </row>
    <row r="17">
      <c r="A17" s="190"/>
      <c r="B17" s="191"/>
      <c r="C17" s="191"/>
      <c r="D17" s="192"/>
    </row>
    <row r="18">
      <c r="A18" s="190"/>
      <c r="B18" s="191"/>
      <c r="C18" s="191"/>
      <c r="D18" s="192"/>
    </row>
    <row r="19">
      <c r="A19" s="190"/>
      <c r="B19" s="191"/>
      <c r="C19" s="191"/>
      <c r="D19" s="192"/>
    </row>
    <row r="20">
      <c r="A20" s="190"/>
      <c r="B20" s="191"/>
      <c r="C20" s="191"/>
      <c r="D20" s="192"/>
    </row>
    <row r="21">
      <c r="A21" s="190"/>
      <c r="B21" s="191"/>
      <c r="C21" s="191"/>
      <c r="D21" s="192"/>
    </row>
    <row r="22">
      <c r="A22" s="190"/>
      <c r="B22" s="191"/>
      <c r="C22" s="191"/>
      <c r="D22" s="192"/>
    </row>
    <row r="23">
      <c r="A23" s="190"/>
      <c r="B23" s="191"/>
      <c r="C23" s="191"/>
      <c r="D23" s="192"/>
    </row>
    <row r="24">
      <c r="A24" s="190"/>
      <c r="B24" s="191"/>
      <c r="C24" s="191"/>
      <c r="D24" s="192"/>
    </row>
    <row r="25">
      <c r="A25" s="190"/>
      <c r="B25" s="191"/>
      <c r="C25" s="191"/>
      <c r="D25" s="192"/>
    </row>
    <row r="26">
      <c r="A26" s="190"/>
      <c r="B26" s="191"/>
      <c r="C26" s="191"/>
      <c r="D26" s="192"/>
    </row>
    <row r="27">
      <c r="A27" s="190"/>
      <c r="B27" s="191"/>
      <c r="C27" s="191"/>
      <c r="D27" s="192"/>
    </row>
    <row r="28">
      <c r="A28" s="190"/>
      <c r="B28" s="191"/>
      <c r="C28" s="191"/>
      <c r="D28" s="192"/>
    </row>
    <row r="29">
      <c r="A29" s="190"/>
      <c r="B29" s="191"/>
      <c r="C29" s="191"/>
      <c r="D29" s="192"/>
    </row>
    <row r="30">
      <c r="A30" s="190"/>
      <c r="B30" s="191"/>
      <c r="C30" s="191"/>
      <c r="D30" s="192"/>
    </row>
    <row r="31">
      <c r="A31" s="190"/>
      <c r="B31" s="191"/>
      <c r="C31" s="191"/>
      <c r="D31" s="192"/>
    </row>
    <row r="32">
      <c r="A32" s="190"/>
      <c r="B32" s="191"/>
      <c r="C32" s="191"/>
      <c r="D32" s="192"/>
    </row>
    <row r="33">
      <c r="A33" s="190"/>
      <c r="B33" s="191"/>
      <c r="C33" s="191"/>
      <c r="D33" s="192"/>
    </row>
    <row r="34">
      <c r="A34" s="190"/>
      <c r="B34" s="191"/>
      <c r="C34" s="191"/>
      <c r="D34" s="192"/>
    </row>
    <row r="35">
      <c r="A35" s="190"/>
      <c r="B35" s="191"/>
      <c r="C35" s="191"/>
      <c r="D35" s="192"/>
    </row>
    <row r="36">
      <c r="A36" s="190"/>
      <c r="B36" s="191"/>
      <c r="C36" s="191"/>
      <c r="D36" s="192"/>
    </row>
    <row r="37">
      <c r="A37" s="190"/>
      <c r="B37" s="191"/>
      <c r="C37" s="191"/>
      <c r="D37" s="192"/>
    </row>
    <row r="38">
      <c r="A38" s="190"/>
      <c r="B38" s="191"/>
      <c r="C38" s="191"/>
      <c r="D38" s="192"/>
    </row>
    <row r="39">
      <c r="A39" s="190"/>
      <c r="B39" s="191"/>
      <c r="C39" s="191"/>
      <c r="D39" s="192"/>
    </row>
    <row r="40">
      <c r="A40" s="190"/>
      <c r="B40" s="191"/>
      <c r="C40" s="191"/>
      <c r="D40" s="192"/>
    </row>
    <row r="41">
      <c r="A41" s="190"/>
      <c r="B41" s="191"/>
      <c r="C41" s="191"/>
      <c r="D41" s="192"/>
    </row>
    <row r="42">
      <c r="A42" s="190"/>
      <c r="B42" s="191"/>
      <c r="C42" s="191"/>
      <c r="D42" s="192"/>
    </row>
    <row r="43">
      <c r="A43" s="190"/>
      <c r="B43" s="191"/>
      <c r="C43" s="191"/>
      <c r="D43" s="192"/>
    </row>
    <row r="44">
      <c r="A44" s="190"/>
      <c r="B44" s="191"/>
      <c r="C44" s="191"/>
      <c r="D44" s="192"/>
    </row>
    <row r="45">
      <c r="A45" s="190"/>
      <c r="B45" s="191"/>
      <c r="C45" s="191"/>
      <c r="D45" s="192"/>
    </row>
    <row r="46">
      <c r="A46" s="190"/>
      <c r="B46" s="191"/>
      <c r="C46" s="191"/>
      <c r="D46" s="192"/>
    </row>
    <row r="47">
      <c r="A47" s="190"/>
      <c r="B47" s="191"/>
      <c r="C47" s="191"/>
      <c r="D47" s="192"/>
    </row>
    <row r="48">
      <c r="A48" s="190"/>
      <c r="B48" s="191"/>
      <c r="C48" s="191"/>
      <c r="D48" s="192"/>
    </row>
    <row r="49">
      <c r="A49" s="190"/>
      <c r="B49" s="191"/>
      <c r="C49" s="191"/>
      <c r="D49" s="192"/>
    </row>
    <row r="50">
      <c r="A50" s="190"/>
      <c r="B50" s="191"/>
      <c r="C50" s="191"/>
      <c r="D50" s="192"/>
    </row>
    <row r="51">
      <c r="A51" s="190"/>
      <c r="B51" s="191"/>
      <c r="C51" s="191"/>
      <c r="D51" s="192"/>
    </row>
    <row r="52">
      <c r="A52" s="190"/>
      <c r="B52" s="191"/>
      <c r="C52" s="191"/>
      <c r="D52" s="192"/>
    </row>
    <row r="53">
      <c r="A53" s="190"/>
      <c r="B53" s="191"/>
      <c r="C53" s="191"/>
      <c r="D53" s="192"/>
    </row>
    <row r="54">
      <c r="A54" s="190"/>
      <c r="B54" s="191"/>
      <c r="C54" s="191"/>
      <c r="D54" s="192"/>
    </row>
    <row r="55">
      <c r="A55" s="190"/>
      <c r="B55" s="191"/>
      <c r="C55" s="191"/>
      <c r="D55" s="192"/>
    </row>
    <row r="56">
      <c r="A56" s="190"/>
      <c r="B56" s="191"/>
      <c r="C56" s="191"/>
      <c r="D56" s="192"/>
    </row>
    <row r="57">
      <c r="A57" s="190"/>
      <c r="B57" s="191"/>
      <c r="C57" s="191"/>
      <c r="D57" s="192"/>
    </row>
    <row r="58">
      <c r="A58" s="190"/>
      <c r="B58" s="191"/>
      <c r="C58" s="191"/>
      <c r="D58" s="192"/>
    </row>
    <row r="59">
      <c r="A59" s="190"/>
      <c r="B59" s="191"/>
      <c r="C59" s="191"/>
      <c r="D59" s="192"/>
    </row>
    <row r="60">
      <c r="A60" s="190"/>
      <c r="B60" s="191"/>
      <c r="C60" s="191"/>
      <c r="D60" s="192"/>
    </row>
    <row r="61">
      <c r="A61" s="190"/>
      <c r="B61" s="191"/>
      <c r="C61" s="191"/>
      <c r="D61" s="192"/>
    </row>
    <row r="62">
      <c r="A62" s="190"/>
      <c r="B62" s="191"/>
      <c r="C62" s="191"/>
      <c r="D62" s="192"/>
    </row>
    <row r="63">
      <c r="A63" s="190"/>
      <c r="B63" s="191"/>
      <c r="C63" s="191"/>
      <c r="D63" s="192"/>
    </row>
    <row r="64">
      <c r="A64" s="190"/>
      <c r="B64" s="191"/>
      <c r="C64" s="191"/>
      <c r="D64" s="192"/>
    </row>
    <row r="65">
      <c r="A65" s="190"/>
      <c r="B65" s="191"/>
      <c r="C65" s="191"/>
      <c r="D65" s="192"/>
    </row>
    <row r="66">
      <c r="A66" s="190"/>
      <c r="B66" s="191"/>
      <c r="C66" s="191"/>
      <c r="D66" s="192"/>
    </row>
    <row r="67">
      <c r="A67" s="190"/>
      <c r="B67" s="191"/>
      <c r="C67" s="191"/>
      <c r="D67" s="192"/>
    </row>
    <row r="68">
      <c r="A68" s="190"/>
      <c r="B68" s="191"/>
      <c r="C68" s="191"/>
      <c r="D68" s="192"/>
    </row>
    <row r="69">
      <c r="A69" s="190"/>
      <c r="B69" s="191"/>
      <c r="C69" s="191"/>
      <c r="D69" s="192"/>
    </row>
    <row r="70">
      <c r="A70" s="190"/>
      <c r="B70" s="191"/>
      <c r="C70" s="191"/>
      <c r="D70" s="192"/>
    </row>
    <row r="71">
      <c r="A71" s="190"/>
      <c r="B71" s="191"/>
      <c r="C71" s="191"/>
      <c r="D71" s="192"/>
    </row>
    <row r="72">
      <c r="A72" s="190"/>
      <c r="B72" s="191"/>
      <c r="C72" s="191"/>
      <c r="D72" s="192"/>
    </row>
    <row r="73">
      <c r="A73" s="190"/>
      <c r="B73" s="191"/>
      <c r="C73" s="191"/>
      <c r="D73" s="192"/>
    </row>
    <row r="74">
      <c r="A74" s="190"/>
      <c r="B74" s="191"/>
      <c r="C74" s="191"/>
      <c r="D74" s="192"/>
    </row>
    <row r="75">
      <c r="A75" s="190"/>
      <c r="B75" s="191"/>
      <c r="C75" s="191"/>
      <c r="D75" s="192"/>
    </row>
    <row r="76">
      <c r="A76" s="190"/>
      <c r="B76" s="191"/>
      <c r="C76" s="191"/>
      <c r="D76" s="192"/>
    </row>
    <row r="77">
      <c r="A77" s="190"/>
      <c r="B77" s="191"/>
      <c r="C77" s="191"/>
      <c r="D77" s="192"/>
    </row>
    <row r="78">
      <c r="A78" s="190"/>
      <c r="B78" s="191"/>
      <c r="C78" s="191"/>
      <c r="D78" s="192"/>
    </row>
    <row r="79">
      <c r="A79" s="190"/>
      <c r="B79" s="191"/>
      <c r="C79" s="191"/>
      <c r="D79" s="192"/>
    </row>
    <row r="80">
      <c r="A80" s="190"/>
      <c r="B80" s="191"/>
      <c r="C80" s="191"/>
      <c r="D80" s="192"/>
    </row>
    <row r="81">
      <c r="A81" s="190"/>
      <c r="B81" s="191"/>
      <c r="C81" s="191"/>
      <c r="D81" s="192"/>
    </row>
    <row r="82">
      <c r="A82" s="190"/>
      <c r="B82" s="191"/>
      <c r="C82" s="191"/>
      <c r="D82" s="192"/>
    </row>
    <row r="83">
      <c r="A83" s="190"/>
      <c r="B83" s="191"/>
      <c r="C83" s="191"/>
      <c r="D83" s="192"/>
    </row>
    <row r="84">
      <c r="A84" s="190"/>
      <c r="B84" s="191"/>
      <c r="C84" s="191"/>
      <c r="D84" s="192"/>
    </row>
    <row r="85">
      <c r="A85" s="190"/>
      <c r="B85" s="191"/>
      <c r="C85" s="191"/>
      <c r="D85" s="192"/>
    </row>
    <row r="86">
      <c r="A86" s="190"/>
      <c r="B86" s="191"/>
      <c r="C86" s="191"/>
      <c r="D86" s="192"/>
    </row>
    <row r="87">
      <c r="A87" s="190"/>
      <c r="B87" s="191"/>
      <c r="C87" s="191"/>
      <c r="D87" s="192"/>
    </row>
    <row r="88">
      <c r="A88" s="190"/>
      <c r="B88" s="191"/>
      <c r="C88" s="191"/>
      <c r="D88" s="192"/>
    </row>
    <row r="89">
      <c r="A89" s="193"/>
      <c r="B89" s="194"/>
      <c r="C89" s="194"/>
      <c r="D89" s="195"/>
    </row>
    <row r="91" ht="21">
      <c r="A91" s="196" t="s">
        <v>282</v>
      </c>
      <c r="B91" s="196"/>
      <c r="C91" s="196"/>
      <c r="D91" s="196"/>
      <c r="E91" s="196"/>
      <c r="F91" s="196"/>
      <c r="G91" s="196"/>
      <c r="H91" s="196"/>
    </row>
    <row r="92" ht="21">
      <c r="A92" s="196" t="s">
        <v>283</v>
      </c>
    </row>
  </sheetData>
  <mergeCells count="4">
    <mergeCell ref="A3:D3"/>
    <mergeCell ref="A4:D4"/>
    <mergeCell ref="A6:A7"/>
    <mergeCell ref="B6:D6"/>
  </mergeCells>
  <dataValidations count="1" disablePrompts="0">
    <dataValidation sqref="A9:A89" type="list" allowBlank="1" errorStyle="stop" imeMode="noControl" operator="between" showDropDown="0" showErrorMessage="1" showInputMessage="1">
      <formula1>'Р 1. "Общие сведения"'!$I$7:$I$180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0">
    <outlinePr applyStyles="0" summaryBelow="1" summaryRight="1" showOutlineSymbols="1"/>
    <pageSetUpPr autoPageBreaks="1" fitToPage="0"/>
  </sheetPr>
  <sheetViews>
    <sheetView topLeftCell="C9" zoomScale="85" workbookViewId="0">
      <selection activeCell="H10" activeCellId="0" sqref="H10"/>
    </sheetView>
  </sheetViews>
  <sheetFormatPr defaultRowHeight="14.25"/>
  <cols>
    <col customWidth="1" min="1" max="1" style="9" width="36.85546875"/>
    <col customWidth="1" min="2" max="2" style="9" width="15.42578125"/>
    <col customWidth="1" min="3" max="3" style="9" width="21.5703125"/>
    <col customWidth="1" min="4" max="4" style="9" width="20.28515625"/>
    <col customWidth="1" min="5" max="5" style="9" width="15.42578125"/>
    <col customWidth="1" min="6" max="6" style="9" width="31.5703125"/>
    <col customWidth="1" min="7" max="7" style="9" width="14.85546875"/>
    <col customWidth="1" min="8" max="8" style="9" width="16.42578125"/>
    <col customWidth="1" min="9" max="9" style="9" width="22.140625"/>
    <col customWidth="1" min="10" max="10" style="9" width="18.5703125"/>
    <col customWidth="1" min="11" max="11" style="9" width="21.28515625"/>
    <col customWidth="1" min="12" max="12" style="9" width="19.140625"/>
    <col min="13" max="16384" style="9" width="9.140625"/>
  </cols>
  <sheetData>
    <row r="2">
      <c r="A2" s="197" t="s">
        <v>102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5" ht="71.25">
      <c r="A5" s="198" t="s">
        <v>284</v>
      </c>
      <c r="B5" s="199" t="s">
        <v>285</v>
      </c>
      <c r="C5" s="199" t="s">
        <v>286</v>
      </c>
      <c r="D5" s="200" t="s">
        <v>287</v>
      </c>
      <c r="E5" s="200" t="s">
        <v>288</v>
      </c>
      <c r="F5" s="199" t="s">
        <v>289</v>
      </c>
      <c r="G5" s="199" t="s">
        <v>290</v>
      </c>
      <c r="H5" s="199" t="s">
        <v>291</v>
      </c>
      <c r="I5" s="199" t="s">
        <v>292</v>
      </c>
      <c r="J5" s="199" t="s">
        <v>293</v>
      </c>
      <c r="K5" s="201" t="s">
        <v>294</v>
      </c>
      <c r="L5" s="202"/>
    </row>
    <row r="6" ht="165">
      <c r="A6" s="106" t="s">
        <v>278</v>
      </c>
      <c r="B6" s="108" t="s">
        <v>295</v>
      </c>
      <c r="C6" s="108" t="s">
        <v>296</v>
      </c>
      <c r="D6" s="202" t="s">
        <v>297</v>
      </c>
      <c r="E6" s="202" t="s">
        <v>298</v>
      </c>
      <c r="F6" s="108" t="s">
        <v>299</v>
      </c>
      <c r="G6" s="203" t="s">
        <v>300</v>
      </c>
      <c r="H6" s="185">
        <v>15.6</v>
      </c>
      <c r="I6" s="108" t="s">
        <v>301</v>
      </c>
      <c r="J6" s="108" t="s">
        <v>302</v>
      </c>
      <c r="K6" s="108" t="s">
        <v>303</v>
      </c>
      <c r="L6" s="204"/>
    </row>
    <row r="7" ht="225">
      <c r="A7" s="204" t="s">
        <v>278</v>
      </c>
      <c r="B7" s="108" t="s">
        <v>304</v>
      </c>
      <c r="C7" s="108" t="s">
        <v>296</v>
      </c>
      <c r="D7" s="202" t="s">
        <v>305</v>
      </c>
      <c r="E7" s="202" t="s">
        <v>298</v>
      </c>
      <c r="F7" s="108" t="s">
        <v>306</v>
      </c>
      <c r="G7" s="203" t="s">
        <v>307</v>
      </c>
      <c r="H7" s="185">
        <v>67.799999999999997</v>
      </c>
      <c r="I7" s="205" t="s">
        <v>301</v>
      </c>
      <c r="J7" s="108" t="s">
        <v>302</v>
      </c>
      <c r="K7" s="108" t="s">
        <v>303</v>
      </c>
      <c r="L7" s="204"/>
    </row>
    <row r="8" ht="165">
      <c r="A8" s="206" t="s">
        <v>248</v>
      </c>
      <c r="B8" s="108" t="s">
        <v>308</v>
      </c>
      <c r="C8" s="108" t="s">
        <v>296</v>
      </c>
      <c r="D8" s="202" t="s">
        <v>305</v>
      </c>
      <c r="E8" s="202" t="s">
        <v>298</v>
      </c>
      <c r="F8" s="108" t="s">
        <v>309</v>
      </c>
      <c r="G8" s="108" t="s">
        <v>310</v>
      </c>
      <c r="H8" s="185">
        <v>165</v>
      </c>
      <c r="I8" s="108" t="s">
        <v>301</v>
      </c>
      <c r="J8" s="108" t="s">
        <v>302</v>
      </c>
      <c r="K8" s="108" t="s">
        <v>303</v>
      </c>
      <c r="L8" s="204"/>
    </row>
    <row r="9" ht="165">
      <c r="A9" s="206" t="s">
        <v>311</v>
      </c>
      <c r="B9" s="108" t="s">
        <v>312</v>
      </c>
      <c r="C9" s="108" t="s">
        <v>296</v>
      </c>
      <c r="D9" s="202" t="s">
        <v>305</v>
      </c>
      <c r="E9" s="202" t="s">
        <v>298</v>
      </c>
      <c r="F9" s="108" t="s">
        <v>227</v>
      </c>
      <c r="G9" s="203" t="s">
        <v>313</v>
      </c>
      <c r="H9" s="185">
        <v>1.6000000000000001</v>
      </c>
      <c r="I9" s="108" t="s">
        <v>301</v>
      </c>
      <c r="J9" s="108" t="s">
        <v>302</v>
      </c>
      <c r="K9" s="108" t="s">
        <v>303</v>
      </c>
      <c r="L9" s="204"/>
    </row>
    <row r="10" ht="165">
      <c r="A10" s="206" t="s">
        <v>228</v>
      </c>
      <c r="B10" s="108" t="s">
        <v>308</v>
      </c>
      <c r="C10" s="205" t="s">
        <v>296</v>
      </c>
      <c r="D10" s="202" t="s">
        <v>305</v>
      </c>
      <c r="E10" s="202" t="s">
        <v>298</v>
      </c>
      <c r="F10" s="108" t="s">
        <v>227</v>
      </c>
      <c r="G10" s="203" t="s">
        <v>314</v>
      </c>
      <c r="H10" s="185">
        <v>13500</v>
      </c>
      <c r="I10" s="205" t="s">
        <v>301</v>
      </c>
      <c r="J10" s="108" t="s">
        <v>302</v>
      </c>
      <c r="K10" s="205" t="s">
        <v>303</v>
      </c>
      <c r="L10" s="204"/>
    </row>
    <row r="11" ht="165">
      <c r="A11" s="204" t="s">
        <v>315</v>
      </c>
      <c r="B11" s="108" t="s">
        <v>316</v>
      </c>
      <c r="C11" s="108" t="s">
        <v>296</v>
      </c>
      <c r="D11" s="202" t="s">
        <v>305</v>
      </c>
      <c r="E11" s="202" t="s">
        <v>298</v>
      </c>
      <c r="F11" s="108" t="s">
        <v>317</v>
      </c>
      <c r="G11" s="108" t="s">
        <v>318</v>
      </c>
      <c r="H11" s="185">
        <v>65.5</v>
      </c>
      <c r="I11" s="108" t="s">
        <v>301</v>
      </c>
      <c r="J11" s="108" t="s">
        <v>302</v>
      </c>
      <c r="K11" s="108" t="s">
        <v>319</v>
      </c>
      <c r="L11" s="204"/>
    </row>
    <row r="12" ht="15">
      <c r="B12" s="108"/>
      <c r="C12" s="108"/>
      <c r="D12" s="202"/>
      <c r="E12" s="202"/>
      <c r="F12" s="108"/>
      <c r="G12" s="108"/>
      <c r="H12" s="108"/>
      <c r="I12" s="108"/>
      <c r="J12" s="108"/>
      <c r="K12" s="108"/>
      <c r="L12" s="204"/>
    </row>
    <row r="13" ht="15">
      <c r="A13" s="106"/>
      <c r="B13" s="108"/>
      <c r="C13" s="108"/>
      <c r="D13" s="202"/>
      <c r="E13" s="202"/>
      <c r="F13" s="108"/>
      <c r="G13" s="108"/>
      <c r="H13" s="108"/>
      <c r="I13" s="108"/>
      <c r="J13" s="108"/>
      <c r="K13" s="108"/>
      <c r="L13" s="204"/>
    </row>
    <row r="14" ht="15">
      <c r="A14" s="106"/>
      <c r="B14" s="108"/>
      <c r="C14" s="108"/>
      <c r="D14" s="202"/>
      <c r="E14" s="202"/>
      <c r="F14" s="108"/>
      <c r="G14" s="108"/>
      <c r="H14" s="108"/>
      <c r="I14" s="108"/>
      <c r="J14" s="108"/>
      <c r="K14" s="108"/>
      <c r="L14" s="204"/>
    </row>
    <row r="15" ht="15">
      <c r="A15" s="106"/>
      <c r="B15" s="108"/>
      <c r="C15" s="108"/>
      <c r="D15" s="202"/>
      <c r="E15" s="202"/>
      <c r="F15" s="108"/>
      <c r="G15" s="108"/>
      <c r="H15" s="108"/>
      <c r="I15" s="108"/>
      <c r="J15" s="108"/>
      <c r="K15" s="108"/>
      <c r="L15" s="204"/>
    </row>
    <row r="16" ht="15">
      <c r="A16" s="106"/>
      <c r="B16" s="108"/>
      <c r="C16" s="108"/>
      <c r="D16" s="202"/>
      <c r="E16" s="202"/>
      <c r="F16" s="202"/>
      <c r="G16" s="202"/>
      <c r="H16" s="202"/>
      <c r="I16" s="202"/>
      <c r="J16" s="202"/>
      <c r="K16" s="202"/>
      <c r="L16" s="204"/>
    </row>
    <row r="17" ht="15">
      <c r="A17" s="106"/>
      <c r="B17" s="108"/>
      <c r="C17" s="108"/>
      <c r="D17" s="202"/>
      <c r="E17" s="202"/>
      <c r="F17" s="202"/>
      <c r="G17" s="202"/>
      <c r="H17" s="202"/>
      <c r="I17" s="202"/>
      <c r="J17" s="202"/>
      <c r="K17" s="202"/>
      <c r="L17" s="204"/>
    </row>
    <row r="18" ht="15">
      <c r="A18" s="106"/>
      <c r="B18" s="108"/>
      <c r="C18" s="108"/>
      <c r="D18" s="202"/>
      <c r="E18" s="202"/>
      <c r="F18" s="202"/>
      <c r="G18" s="202"/>
      <c r="H18" s="202"/>
      <c r="I18" s="202"/>
      <c r="J18" s="202"/>
      <c r="K18" s="202"/>
      <c r="L18" s="204"/>
    </row>
    <row r="19" ht="15">
      <c r="A19" s="106"/>
      <c r="B19" s="108"/>
      <c r="C19" s="108"/>
      <c r="D19" s="202"/>
      <c r="E19" s="202"/>
      <c r="F19" s="202"/>
      <c r="G19" s="202"/>
      <c r="H19" s="202"/>
      <c r="I19" s="202"/>
      <c r="J19" s="202"/>
      <c r="K19" s="202"/>
      <c r="L19" s="204"/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</row>
    <row r="84" ht="21">
      <c r="A84" s="133" t="s">
        <v>231</v>
      </c>
      <c r="B84" s="133"/>
      <c r="C84" s="133"/>
      <c r="D84" s="133"/>
      <c r="E84" s="133"/>
      <c r="F84" s="133"/>
      <c r="G84" s="133"/>
      <c r="H84" s="133"/>
      <c r="I84" s="133"/>
    </row>
    <row r="85" ht="21">
      <c r="A85" s="196"/>
    </row>
  </sheetData>
  <mergeCells count="2">
    <mergeCell ref="A2:K2"/>
    <mergeCell ref="A84:I84"/>
  </mergeCells>
  <dataValidations count="4" disablePrompts="0">
    <dataValidation sqref="A86:A1948" type="list" allowBlank="1" errorStyle="stop" imeMode="noControl" operator="between" showDropDown="0" showErrorMessage="1" showInputMessage="1">
      <formula1>'Р 1. "Общие сведения"'!$I$7:$I$180</formula1>
    </dataValidation>
    <dataValidation sqref="A16:A19" type="list" allowBlank="1" errorStyle="stop" imeMode="noControl" operator="between" showDropDown="0" showErrorMessage="1" showInputMessage="1">
      <formula1>'Р 1. "Общие сведения"'!#REF!</formula1>
    </dataValidation>
    <dataValidation sqref="D6:D82" type="list" allowBlank="1" errorStyle="stop" imeMode="noControl" operator="between" showDropDown="0" showErrorMessage="1" showInputMessage="1">
      <formula1>Справочники!$F$38:$F$41</formula1>
    </dataValidation>
    <dataValidation sqref="E6:E82" type="list" allowBlank="1" errorStyle="stop" imeMode="noControl" operator="between" showDropDown="0" showErrorMessage="1" showInputMessage="1">
      <formula1>Справочники!$E$50:$E$53</formula1>
    </dataValidation>
  </dataValidations>
  <printOptions headings="0" gridLines="0"/>
  <pageMargins left="0.70866141732283472" right="0.70866141732283472" top="0.74803149606299213" bottom="0.74803149606299213" header="0.31496062992125984" footer="0.31496062992125984"/>
  <pageSetup paperSize="9" scale="50" fitToWidth="1" fitToHeight="1" pageOrder="downThenOver" orientation="landscape" usePrinterDefaults="1" blackAndWhite="0" draft="0" cellComments="none" useFirstPageNumber="0" errors="displayed" horizontalDpi="600" verticalDpi="600" copies="1"/>
  <headerFooter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9E0029-00E5-4D4C-A37D-008B004C00BD}" type="list" allowBlank="1" errorStyle="stop" imeMode="noControl" operator="between" showDropDown="0" showErrorMessage="1" showInputMessage="1">
          <x14:formula1>
            <xm:f>$I$6:$I$167</xm:f>
          </x14:formula1>
          <xm:sqref>A20:A83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revision>3</cp:revision>
  <dcterms:created xsi:type="dcterms:W3CDTF">2017-05-04T05:41:28Z</dcterms:created>
  <dcterms:modified xsi:type="dcterms:W3CDTF">2024-02-06T08:46:13Z</dcterms:modified>
</cp:coreProperties>
</file>