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omments1.xml" ContentType="application/vnd.openxmlformats-officedocument.spreadsheetml.comments+xml"/>
  <Override PartName="/xl/tables/table12.xml" ContentType="application/vnd.openxmlformats-officedocument.spreadsheetml.table+xml"/>
  <Override PartName="/xl/comments2.xml" ContentType="application/vnd.openxmlformats-officedocument.spreadsheetml.comments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comments3.xml" ContentType="application/vnd.openxmlformats-officedocument.spreadsheetml.comments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comments4.xml" ContentType="application/vnd.openxmlformats-officedocument.spreadsheetml.comments+xml"/>
  <Override PartName="/xl/tables/table17.xml" ContentType="application/vnd.openxmlformats-officedocument.spreadsheetml.table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updateLinks="never" codeName="ЭтаКнига" hidePivotFieldList="1"/>
  <mc:AlternateContent xmlns:mc="http://schemas.openxmlformats.org/markup-compatibility/2006">
    <mc:Choice Requires="x15">
      <x15ac:absPath xmlns:x15ac="http://schemas.microsoft.com/office/spreadsheetml/2010/11/ac" url="C:\Users\PC7\Desktop\старый рабочий стол\Галина\План иформатизации 2023\25.01.2023\"/>
    </mc:Choice>
  </mc:AlternateContent>
  <xr:revisionPtr revIDLastSave="0" documentId="8_{CBC9134D-3FCA-4DA8-89B8-0B9D70AF4253}" xr6:coauthVersionLast="47" xr6:coauthVersionMax="47" xr10:uidLastSave="{00000000-0000-0000-0000-000000000000}"/>
  <bookViews>
    <workbookView xWindow="-120" yWindow="-120" windowWidth="29040" windowHeight="15840" tabRatio="713" activeTab="8" xr2:uid="{00000000-000D-0000-FFFF-FFFF00000000}"/>
  </bookViews>
  <sheets>
    <sheet name="Инструкция по заполнению форм" sheetId="11" r:id="rId1"/>
    <sheet name="Лист2" sheetId="12" state="hidden" r:id="rId2"/>
    <sheet name="План инф-ции (титул)" sheetId="3" r:id="rId3"/>
    <sheet name="Р 1. &quot;Общие сведения&quot;" sheetId="4" r:id="rId4"/>
    <sheet name="Р 2. &quot;Госуслуги(функции)" sheetId="5" state="hidden" r:id="rId5"/>
    <sheet name="Р 3. Документы" sheetId="6" r:id="rId6"/>
    <sheet name="Р 4. Показатели_индикаторы" sheetId="7" state="hidden" r:id="rId7"/>
    <sheet name="Р 5. Финансирование" sheetId="8" r:id="rId8"/>
    <sheet name="Р 6. Закупки" sheetId="9" r:id="rId9"/>
    <sheet name="Р 7. Оценка УО" sheetId="1" state="hidden" r:id="rId10"/>
    <sheet name="Справочники" sheetId="10" state="hidden" r:id="rId11"/>
  </sheets>
  <definedNames>
    <definedName name="_xlnm._FilterDatabase" localSheetId="3" hidden="1">'Р 1. "Общие сведения"'!$A$6:$P$6</definedName>
    <definedName name="sub_11400" localSheetId="0">'Инструкция по заполнению форм'!$A$99</definedName>
    <definedName name="sub_11600" localSheetId="0">'Инструкция по заполнению форм'!$A$123</definedName>
  </definedName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4" l="1"/>
  <c r="I12" i="4"/>
  <c r="I13" i="4"/>
  <c r="I14" i="4"/>
  <c r="C41" i="3"/>
  <c r="B16" i="3" l="1"/>
  <c r="B17" i="3"/>
  <c r="B20" i="3"/>
  <c r="B21" i="3"/>
  <c r="B22" i="3"/>
  <c r="I10" i="4"/>
  <c r="A15" i="4"/>
  <c r="A16" i="4" s="1"/>
  <c r="A17" i="4" s="1"/>
  <c r="A18" i="4" s="1"/>
  <c r="A19" i="4" s="1"/>
  <c r="A20" i="4" s="1"/>
  <c r="A21" i="4" s="1"/>
  <c r="A22" i="4" s="1"/>
  <c r="A23" i="4" s="1"/>
  <c r="A24" i="4" s="1"/>
  <c r="L6" i="3"/>
  <c r="D49" i="3" l="1"/>
  <c r="D50" i="3"/>
  <c r="D25" i="8" l="1"/>
  <c r="C25" i="8"/>
  <c r="B25" i="8"/>
  <c r="I9" i="4" l="1"/>
  <c r="I8" i="4"/>
  <c r="L7" i="4" l="1"/>
  <c r="E8" i="12" l="1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E88" i="12"/>
  <c r="E89" i="12"/>
  <c r="E90" i="12"/>
  <c r="E91" i="12"/>
  <c r="E92" i="12"/>
  <c r="E93" i="12"/>
  <c r="E94" i="12"/>
  <c r="E95" i="12"/>
  <c r="E96" i="12"/>
  <c r="E97" i="12"/>
  <c r="E98" i="12"/>
  <c r="E99" i="12"/>
  <c r="E100" i="12"/>
  <c r="E101" i="12"/>
  <c r="E102" i="12"/>
  <c r="E103" i="12"/>
  <c r="E104" i="12"/>
  <c r="E105" i="12"/>
  <c r="E106" i="12"/>
  <c r="E107" i="12"/>
  <c r="E108" i="12"/>
  <c r="E109" i="12"/>
  <c r="E110" i="12"/>
  <c r="E111" i="12"/>
  <c r="E112" i="12"/>
  <c r="E113" i="12"/>
  <c r="E114" i="12"/>
  <c r="E115" i="12"/>
  <c r="E116" i="12"/>
  <c r="E117" i="12"/>
  <c r="E118" i="12"/>
  <c r="E119" i="12"/>
  <c r="E120" i="12"/>
  <c r="E121" i="12"/>
  <c r="E122" i="12"/>
  <c r="E123" i="12"/>
  <c r="E124" i="12"/>
  <c r="E125" i="12"/>
  <c r="E126" i="12"/>
  <c r="E127" i="12"/>
  <c r="E128" i="12"/>
  <c r="E129" i="12"/>
  <c r="E130" i="12"/>
  <c r="E131" i="12"/>
  <c r="E132" i="12"/>
  <c r="E133" i="12"/>
  <c r="E134" i="12"/>
  <c r="E135" i="12"/>
  <c r="E136" i="12"/>
  <c r="E137" i="12"/>
  <c r="E138" i="12"/>
  <c r="E139" i="12"/>
  <c r="E140" i="12"/>
  <c r="E141" i="12"/>
  <c r="E142" i="12"/>
  <c r="E143" i="12"/>
  <c r="E144" i="12"/>
  <c r="E145" i="12"/>
  <c r="E146" i="12"/>
  <c r="E147" i="12"/>
  <c r="E148" i="12"/>
  <c r="E149" i="12"/>
  <c r="E150" i="12"/>
  <c r="E151" i="12"/>
  <c r="E152" i="12"/>
  <c r="J152" i="12" s="1"/>
  <c r="E153" i="12"/>
  <c r="J153" i="12" s="1"/>
  <c r="E154" i="12"/>
  <c r="J154" i="12" s="1"/>
  <c r="E155" i="12"/>
  <c r="I155" i="12" s="1"/>
  <c r="E156" i="12"/>
  <c r="J156" i="12" s="1"/>
  <c r="E157" i="12"/>
  <c r="J157" i="12" s="1"/>
  <c r="E158" i="12"/>
  <c r="J158" i="12" s="1"/>
  <c r="E159" i="12"/>
  <c r="J159" i="12" s="1"/>
  <c r="E160" i="12"/>
  <c r="J160" i="12" s="1"/>
  <c r="E161" i="12"/>
  <c r="J161" i="12" s="1"/>
  <c r="E162" i="12"/>
  <c r="J162" i="12" s="1"/>
  <c r="E163" i="12"/>
  <c r="J163" i="12" s="1"/>
  <c r="E164" i="12"/>
  <c r="J164" i="12" s="1"/>
  <c r="E165" i="12"/>
  <c r="J165" i="12" s="1"/>
  <c r="E166" i="12"/>
  <c r="J166" i="12" s="1"/>
  <c r="E167" i="12"/>
  <c r="J167" i="12" s="1"/>
  <c r="E168" i="12"/>
  <c r="J168" i="12" s="1"/>
  <c r="E169" i="12"/>
  <c r="J169" i="12" s="1"/>
  <c r="E170" i="12"/>
  <c r="J170" i="12" s="1"/>
  <c r="E171" i="12"/>
  <c r="J171" i="12" s="1"/>
  <c r="E172" i="12"/>
  <c r="J172" i="12" s="1"/>
  <c r="E173" i="12"/>
  <c r="J173" i="12" s="1"/>
  <c r="E174" i="12"/>
  <c r="I174" i="12" s="1"/>
  <c r="E175" i="12"/>
  <c r="J175" i="12" s="1"/>
  <c r="E176" i="12"/>
  <c r="J176" i="12" s="1"/>
  <c r="E177" i="12"/>
  <c r="J177" i="12" s="1"/>
  <c r="E178" i="12"/>
  <c r="I178" i="12" s="1"/>
  <c r="E179" i="12"/>
  <c r="I179" i="12" s="1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0" i="12"/>
  <c r="D161" i="12"/>
  <c r="D162" i="12"/>
  <c r="D163" i="12"/>
  <c r="D164" i="12"/>
  <c r="D165" i="12"/>
  <c r="D166" i="12"/>
  <c r="D167" i="12"/>
  <c r="D168" i="12"/>
  <c r="D169" i="12"/>
  <c r="D170" i="12"/>
  <c r="D171" i="12"/>
  <c r="D172" i="12"/>
  <c r="D173" i="12"/>
  <c r="D174" i="12"/>
  <c r="D175" i="12"/>
  <c r="D176" i="12"/>
  <c r="D177" i="12"/>
  <c r="D178" i="12"/>
  <c r="D179" i="12"/>
  <c r="C179" i="12"/>
  <c r="C178" i="12"/>
  <c r="B178" i="12"/>
  <c r="I178" i="4"/>
  <c r="A178" i="12" s="1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54" i="12"/>
  <c r="C55" i="12"/>
  <c r="C56" i="12"/>
  <c r="C57" i="12"/>
  <c r="C58" i="12"/>
  <c r="C59" i="12"/>
  <c r="C60" i="12"/>
  <c r="C61" i="12"/>
  <c r="C62" i="12"/>
  <c r="C63" i="12"/>
  <c r="C64" i="12"/>
  <c r="C65" i="12"/>
  <c r="C66" i="12"/>
  <c r="C67" i="12"/>
  <c r="C68" i="12"/>
  <c r="C69" i="12"/>
  <c r="C70" i="12"/>
  <c r="C71" i="12"/>
  <c r="C72" i="12"/>
  <c r="C73" i="12"/>
  <c r="C74" i="12"/>
  <c r="C75" i="12"/>
  <c r="C76" i="12"/>
  <c r="C77" i="12"/>
  <c r="C78" i="12"/>
  <c r="C79" i="12"/>
  <c r="C80" i="12"/>
  <c r="C81" i="12"/>
  <c r="C82" i="12"/>
  <c r="C83" i="12"/>
  <c r="C84" i="12"/>
  <c r="C85" i="12"/>
  <c r="C86" i="12"/>
  <c r="C87" i="12"/>
  <c r="C88" i="12"/>
  <c r="C89" i="12"/>
  <c r="C90" i="12"/>
  <c r="C91" i="12"/>
  <c r="C92" i="12"/>
  <c r="C93" i="12"/>
  <c r="C94" i="12"/>
  <c r="C95" i="12"/>
  <c r="C96" i="12"/>
  <c r="C97" i="12"/>
  <c r="C98" i="12"/>
  <c r="C99" i="12"/>
  <c r="C100" i="12"/>
  <c r="C101" i="12"/>
  <c r="C102" i="12"/>
  <c r="C103" i="12"/>
  <c r="C104" i="12"/>
  <c r="C105" i="12"/>
  <c r="C106" i="12"/>
  <c r="C107" i="12"/>
  <c r="C108" i="12"/>
  <c r="C109" i="12"/>
  <c r="C110" i="12"/>
  <c r="C111" i="12"/>
  <c r="C112" i="12"/>
  <c r="C113" i="12"/>
  <c r="C114" i="12"/>
  <c r="C115" i="12"/>
  <c r="C116" i="12"/>
  <c r="C117" i="12"/>
  <c r="C118" i="12"/>
  <c r="C119" i="12"/>
  <c r="C120" i="12"/>
  <c r="C121" i="12"/>
  <c r="C122" i="12"/>
  <c r="C123" i="12"/>
  <c r="C124" i="12"/>
  <c r="C125" i="12"/>
  <c r="C126" i="12"/>
  <c r="C127" i="12"/>
  <c r="C128" i="12"/>
  <c r="C129" i="12"/>
  <c r="C130" i="12"/>
  <c r="C131" i="12"/>
  <c r="C132" i="12"/>
  <c r="C133" i="12"/>
  <c r="C134" i="12"/>
  <c r="C135" i="12"/>
  <c r="C136" i="12"/>
  <c r="C137" i="12"/>
  <c r="C138" i="12"/>
  <c r="C139" i="12"/>
  <c r="C140" i="12"/>
  <c r="C141" i="12"/>
  <c r="C142" i="12"/>
  <c r="C143" i="12"/>
  <c r="C144" i="12"/>
  <c r="C145" i="12"/>
  <c r="C146" i="12"/>
  <c r="C147" i="12"/>
  <c r="C148" i="12"/>
  <c r="C149" i="12"/>
  <c r="C150" i="12"/>
  <c r="C151" i="12"/>
  <c r="C152" i="12"/>
  <c r="C153" i="12"/>
  <c r="C154" i="12"/>
  <c r="C155" i="12"/>
  <c r="C156" i="12"/>
  <c r="C157" i="12"/>
  <c r="C158" i="12"/>
  <c r="C159" i="12"/>
  <c r="C160" i="12"/>
  <c r="C161" i="12"/>
  <c r="C162" i="12"/>
  <c r="C163" i="12"/>
  <c r="C164" i="12"/>
  <c r="C165" i="12"/>
  <c r="C166" i="12"/>
  <c r="C167" i="12"/>
  <c r="C168" i="12"/>
  <c r="C169" i="12"/>
  <c r="C170" i="12"/>
  <c r="C171" i="12"/>
  <c r="C172" i="12"/>
  <c r="C173" i="12"/>
  <c r="C174" i="12"/>
  <c r="C175" i="12"/>
  <c r="C176" i="12"/>
  <c r="C177" i="12"/>
  <c r="J174" i="12"/>
  <c r="I100" i="4"/>
  <c r="A100" i="12" s="1"/>
  <c r="N71" i="3"/>
  <c r="G71" i="3"/>
  <c r="F71" i="3"/>
  <c r="E71" i="3"/>
  <c r="D71" i="3"/>
  <c r="J71" i="3" s="1"/>
  <c r="C71" i="3"/>
  <c r="B71" i="3"/>
  <c r="N70" i="3"/>
  <c r="G70" i="3"/>
  <c r="F70" i="3"/>
  <c r="E70" i="3"/>
  <c r="D70" i="3"/>
  <c r="C70" i="3"/>
  <c r="B70" i="3"/>
  <c r="N69" i="3"/>
  <c r="G69" i="3"/>
  <c r="F69" i="3"/>
  <c r="E69" i="3"/>
  <c r="D69" i="3"/>
  <c r="C69" i="3"/>
  <c r="B69" i="3"/>
  <c r="N68" i="3"/>
  <c r="G68" i="3"/>
  <c r="F68" i="3"/>
  <c r="E68" i="3"/>
  <c r="D68" i="3"/>
  <c r="M68" i="3" s="1"/>
  <c r="C68" i="3"/>
  <c r="B68" i="3"/>
  <c r="N67" i="3"/>
  <c r="G67" i="3"/>
  <c r="F67" i="3"/>
  <c r="E67" i="3"/>
  <c r="D67" i="3"/>
  <c r="J67" i="3" s="1"/>
  <c r="C67" i="3"/>
  <c r="B67" i="3"/>
  <c r="N66" i="3"/>
  <c r="G66" i="3"/>
  <c r="F66" i="3"/>
  <c r="E66" i="3"/>
  <c r="D66" i="3"/>
  <c r="C66" i="3"/>
  <c r="B66" i="3"/>
  <c r="N65" i="3"/>
  <c r="G65" i="3"/>
  <c r="F65" i="3"/>
  <c r="E65" i="3"/>
  <c r="D65" i="3"/>
  <c r="L65" i="3" s="1"/>
  <c r="C65" i="3"/>
  <c r="B65" i="3"/>
  <c r="N62" i="3"/>
  <c r="G62" i="3"/>
  <c r="F62" i="3"/>
  <c r="E62" i="3"/>
  <c r="D62" i="3"/>
  <c r="L62" i="3" s="1"/>
  <c r="C62" i="3"/>
  <c r="B62" i="3"/>
  <c r="N61" i="3"/>
  <c r="G61" i="3"/>
  <c r="F61" i="3"/>
  <c r="E61" i="3"/>
  <c r="D61" i="3"/>
  <c r="C61" i="3"/>
  <c r="B61" i="3"/>
  <c r="N60" i="3"/>
  <c r="G60" i="3"/>
  <c r="F60" i="3"/>
  <c r="E60" i="3"/>
  <c r="D60" i="3"/>
  <c r="L60" i="3" s="1"/>
  <c r="C60" i="3"/>
  <c r="B60" i="3"/>
  <c r="N59" i="3"/>
  <c r="G59" i="3"/>
  <c r="F59" i="3"/>
  <c r="E59" i="3"/>
  <c r="D59" i="3"/>
  <c r="C59" i="3"/>
  <c r="B59" i="3"/>
  <c r="N58" i="3"/>
  <c r="G58" i="3"/>
  <c r="F58" i="3"/>
  <c r="E58" i="3"/>
  <c r="D58" i="3"/>
  <c r="L58" i="3" s="1"/>
  <c r="C58" i="3"/>
  <c r="B58" i="3"/>
  <c r="N57" i="3"/>
  <c r="G57" i="3"/>
  <c r="F57" i="3"/>
  <c r="E57" i="3"/>
  <c r="D57" i="3"/>
  <c r="I57" i="3" s="1"/>
  <c r="C57" i="3"/>
  <c r="B57" i="3"/>
  <c r="N56" i="3"/>
  <c r="G56" i="3"/>
  <c r="F56" i="3"/>
  <c r="E56" i="3"/>
  <c r="D56" i="3"/>
  <c r="J56" i="3" s="1"/>
  <c r="C56" i="3"/>
  <c r="B56" i="3"/>
  <c r="N55" i="3"/>
  <c r="G55" i="3"/>
  <c r="F55" i="3"/>
  <c r="E55" i="3"/>
  <c r="D55" i="3"/>
  <c r="M55" i="3" s="1"/>
  <c r="C55" i="3"/>
  <c r="B55" i="3"/>
  <c r="F42" i="3"/>
  <c r="E42" i="3"/>
  <c r="D42" i="3"/>
  <c r="H42" i="3" s="1"/>
  <c r="C42" i="3"/>
  <c r="B42" i="3"/>
  <c r="F41" i="3"/>
  <c r="E41" i="3"/>
  <c r="D41" i="3"/>
  <c r="J41" i="3" s="1"/>
  <c r="B41" i="3"/>
  <c r="G41" i="3"/>
  <c r="G42" i="3"/>
  <c r="N41" i="3"/>
  <c r="N42" i="3"/>
  <c r="N35" i="3"/>
  <c r="N36" i="3"/>
  <c r="N37" i="3"/>
  <c r="N38" i="3"/>
  <c r="G35" i="3"/>
  <c r="G36" i="3"/>
  <c r="G37" i="3"/>
  <c r="G38" i="3"/>
  <c r="F35" i="3"/>
  <c r="F36" i="3"/>
  <c r="F37" i="3"/>
  <c r="F38" i="3"/>
  <c r="E35" i="3"/>
  <c r="E36" i="3"/>
  <c r="E37" i="3"/>
  <c r="E38" i="3"/>
  <c r="D35" i="3"/>
  <c r="L35" i="3" s="1"/>
  <c r="D36" i="3"/>
  <c r="K36" i="3" s="1"/>
  <c r="D37" i="3"/>
  <c r="L37" i="3" s="1"/>
  <c r="D38" i="3"/>
  <c r="L38" i="3" s="1"/>
  <c r="C35" i="3"/>
  <c r="C36" i="3"/>
  <c r="C37" i="3"/>
  <c r="C38" i="3"/>
  <c r="B35" i="3"/>
  <c r="B36" i="3"/>
  <c r="B37" i="3"/>
  <c r="B38" i="3"/>
  <c r="N27" i="3"/>
  <c r="N28" i="3"/>
  <c r="N29" i="3"/>
  <c r="N30" i="3"/>
  <c r="G27" i="3"/>
  <c r="G28" i="3"/>
  <c r="G29" i="3"/>
  <c r="G30" i="3"/>
  <c r="F27" i="3"/>
  <c r="F28" i="3"/>
  <c r="F29" i="3"/>
  <c r="F30" i="3"/>
  <c r="E27" i="3"/>
  <c r="E28" i="3"/>
  <c r="E29" i="3"/>
  <c r="E30" i="3"/>
  <c r="D27" i="3"/>
  <c r="L27" i="3" s="1"/>
  <c r="D28" i="3"/>
  <c r="K28" i="3" s="1"/>
  <c r="D29" i="3"/>
  <c r="D30" i="3"/>
  <c r="K30" i="3" s="1"/>
  <c r="C27" i="3"/>
  <c r="C28" i="3"/>
  <c r="C29" i="3"/>
  <c r="C30" i="3"/>
  <c r="B27" i="3"/>
  <c r="B28" i="3"/>
  <c r="B29" i="3"/>
  <c r="B30" i="3"/>
  <c r="N22" i="3"/>
  <c r="N23" i="3"/>
  <c r="N24" i="3"/>
  <c r="N25" i="3"/>
  <c r="G22" i="3"/>
  <c r="G23" i="3"/>
  <c r="G24" i="3"/>
  <c r="G25" i="3"/>
  <c r="F22" i="3"/>
  <c r="F23" i="3"/>
  <c r="F24" i="3"/>
  <c r="F25" i="3"/>
  <c r="E22" i="3"/>
  <c r="E23" i="3"/>
  <c r="E24" i="3"/>
  <c r="E25" i="3"/>
  <c r="D22" i="3"/>
  <c r="L22" i="3" s="1"/>
  <c r="D23" i="3"/>
  <c r="L23" i="3" s="1"/>
  <c r="D24" i="3"/>
  <c r="L24" i="3" s="1"/>
  <c r="D25" i="3"/>
  <c r="K25" i="3" s="1"/>
  <c r="C22" i="3"/>
  <c r="C23" i="3"/>
  <c r="C24" i="3"/>
  <c r="C25" i="3"/>
  <c r="B23" i="3"/>
  <c r="B24" i="3"/>
  <c r="B25" i="3"/>
  <c r="N16" i="3"/>
  <c r="N17" i="3"/>
  <c r="G16" i="3"/>
  <c r="G17" i="3"/>
  <c r="F16" i="3"/>
  <c r="F17" i="3"/>
  <c r="E16" i="3"/>
  <c r="E17" i="3"/>
  <c r="D16" i="3"/>
  <c r="D17" i="3"/>
  <c r="L17" i="3" s="1"/>
  <c r="C16" i="3"/>
  <c r="C17" i="3"/>
  <c r="H100" i="12" l="1"/>
  <c r="G100" i="12"/>
  <c r="F100" i="12"/>
  <c r="G178" i="12"/>
  <c r="H178" i="12"/>
  <c r="F178" i="12"/>
  <c r="M178" i="12"/>
  <c r="J179" i="12"/>
  <c r="J178" i="12"/>
  <c r="I153" i="12"/>
  <c r="N178" i="12"/>
  <c r="K178" i="12"/>
  <c r="L178" i="12"/>
  <c r="J155" i="12"/>
  <c r="I152" i="12"/>
  <c r="I154" i="12"/>
  <c r="I159" i="12"/>
  <c r="I162" i="12"/>
  <c r="I156" i="12"/>
  <c r="I157" i="12"/>
  <c r="I158" i="12"/>
  <c r="I161" i="12"/>
  <c r="I168" i="12"/>
  <c r="I160" i="12"/>
  <c r="I169" i="12"/>
  <c r="I163" i="12"/>
  <c r="I166" i="12"/>
  <c r="I164" i="12"/>
  <c r="I165" i="12"/>
  <c r="I170" i="12"/>
  <c r="I171" i="12"/>
  <c r="I167" i="12"/>
  <c r="I172" i="12"/>
  <c r="I176" i="12"/>
  <c r="I175" i="12"/>
  <c r="I173" i="12"/>
  <c r="I177" i="12"/>
  <c r="H41" i="3"/>
  <c r="M42" i="3"/>
  <c r="J35" i="3"/>
  <c r="L41" i="3"/>
  <c r="I36" i="3"/>
  <c r="K41" i="3"/>
  <c r="I35" i="3"/>
  <c r="J24" i="3"/>
  <c r="M28" i="3"/>
  <c r="I22" i="3"/>
  <c r="I28" i="3"/>
  <c r="J17" i="3"/>
  <c r="I17" i="3"/>
  <c r="M17" i="3"/>
  <c r="H23" i="3"/>
  <c r="K23" i="3"/>
  <c r="H22" i="3"/>
  <c r="M22" i="3"/>
  <c r="J28" i="3"/>
  <c r="I41" i="3"/>
  <c r="M25" i="3"/>
  <c r="K27" i="3"/>
  <c r="K60" i="3"/>
  <c r="M24" i="3"/>
  <c r="M27" i="3"/>
  <c r="L57" i="3"/>
  <c r="M60" i="3"/>
  <c r="K68" i="3"/>
  <c r="I25" i="3"/>
  <c r="I27" i="3"/>
  <c r="J27" i="3"/>
  <c r="K35" i="3"/>
  <c r="M36" i="3"/>
  <c r="K55" i="3"/>
  <c r="M57" i="3"/>
  <c r="K65" i="3"/>
  <c r="K17" i="3"/>
  <c r="I24" i="3"/>
  <c r="J25" i="3"/>
  <c r="K24" i="3"/>
  <c r="J36" i="3"/>
  <c r="M35" i="3"/>
  <c r="J42" i="3"/>
  <c r="M65" i="3"/>
  <c r="J16" i="3"/>
  <c r="K16" i="3"/>
  <c r="M16" i="3"/>
  <c r="I16" i="3"/>
  <c r="L16" i="3"/>
  <c r="J29" i="3"/>
  <c r="K29" i="3"/>
  <c r="H16" i="3"/>
  <c r="M23" i="3"/>
  <c r="I23" i="3"/>
  <c r="J23" i="3"/>
  <c r="H30" i="3"/>
  <c r="L30" i="3"/>
  <c r="M37" i="3"/>
  <c r="M59" i="3"/>
  <c r="K59" i="3"/>
  <c r="J59" i="3"/>
  <c r="K62" i="3"/>
  <c r="J22" i="3"/>
  <c r="K22" i="3"/>
  <c r="H29" i="3"/>
  <c r="I29" i="3"/>
  <c r="L29" i="3"/>
  <c r="M29" i="3"/>
  <c r="M38" i="3"/>
  <c r="I38" i="3"/>
  <c r="J38" i="3"/>
  <c r="H38" i="3"/>
  <c r="I37" i="3"/>
  <c r="K38" i="3"/>
  <c r="K67" i="3"/>
  <c r="J68" i="3"/>
  <c r="M30" i="3"/>
  <c r="I30" i="3"/>
  <c r="J30" i="3"/>
  <c r="J37" i="3"/>
  <c r="K37" i="3"/>
  <c r="H37" i="3"/>
  <c r="L56" i="3"/>
  <c r="M56" i="3"/>
  <c r="K56" i="3"/>
  <c r="I56" i="3"/>
  <c r="L69" i="3"/>
  <c r="K69" i="3"/>
  <c r="J69" i="3"/>
  <c r="I69" i="3"/>
  <c r="M69" i="3"/>
  <c r="H25" i="3"/>
  <c r="L25" i="3"/>
  <c r="H28" i="3"/>
  <c r="L28" i="3"/>
  <c r="H36" i="3"/>
  <c r="L36" i="3"/>
  <c r="I60" i="3"/>
  <c r="I65" i="3"/>
  <c r="H17" i="3"/>
  <c r="H24" i="3"/>
  <c r="H27" i="3"/>
  <c r="H35" i="3"/>
  <c r="M41" i="3"/>
  <c r="J55" i="3"/>
  <c r="J60" i="3"/>
  <c r="J65" i="3"/>
  <c r="K71" i="3"/>
  <c r="K61" i="3"/>
  <c r="J61" i="3"/>
  <c r="H61" i="3"/>
  <c r="I61" i="3"/>
  <c r="K66" i="3"/>
  <c r="J66" i="3"/>
  <c r="M66" i="3"/>
  <c r="I66" i="3"/>
  <c r="H66" i="3"/>
  <c r="J58" i="3"/>
  <c r="M58" i="3"/>
  <c r="I58" i="3"/>
  <c r="H58" i="3"/>
  <c r="L61" i="3"/>
  <c r="L66" i="3"/>
  <c r="K70" i="3"/>
  <c r="J70" i="3"/>
  <c r="M70" i="3"/>
  <c r="I70" i="3"/>
  <c r="H70" i="3"/>
  <c r="K42" i="3"/>
  <c r="I42" i="3"/>
  <c r="L42" i="3"/>
  <c r="K57" i="3"/>
  <c r="J57" i="3"/>
  <c r="H57" i="3"/>
  <c r="K58" i="3"/>
  <c r="M61" i="3"/>
  <c r="J62" i="3"/>
  <c r="M62" i="3"/>
  <c r="I62" i="3"/>
  <c r="H62" i="3"/>
  <c r="L70" i="3"/>
  <c r="H67" i="3"/>
  <c r="L67" i="3"/>
  <c r="H71" i="3"/>
  <c r="L71" i="3"/>
  <c r="H55" i="3"/>
  <c r="L55" i="3"/>
  <c r="H59" i="3"/>
  <c r="L59" i="3"/>
  <c r="I67" i="3"/>
  <c r="M67" i="3"/>
  <c r="H68" i="3"/>
  <c r="L68" i="3"/>
  <c r="I71" i="3"/>
  <c r="M71" i="3"/>
  <c r="I55" i="3"/>
  <c r="H56" i="3"/>
  <c r="I59" i="3"/>
  <c r="H60" i="3"/>
  <c r="H65" i="3"/>
  <c r="I68" i="3"/>
  <c r="H69" i="3"/>
  <c r="J132" i="12"/>
  <c r="J134" i="12"/>
  <c r="J136" i="12"/>
  <c r="J138" i="12"/>
  <c r="J139" i="12"/>
  <c r="J140" i="12"/>
  <c r="J142" i="12"/>
  <c r="J144" i="12"/>
  <c r="J146" i="12"/>
  <c r="J147" i="12"/>
  <c r="J148" i="12"/>
  <c r="J150" i="12"/>
  <c r="J131" i="12"/>
  <c r="J102" i="12"/>
  <c r="J104" i="12"/>
  <c r="J105" i="12"/>
  <c r="J106" i="12"/>
  <c r="J107" i="12"/>
  <c r="J108" i="12"/>
  <c r="J110" i="12"/>
  <c r="J112" i="12"/>
  <c r="J113" i="12"/>
  <c r="J114" i="12"/>
  <c r="J115" i="12"/>
  <c r="J116" i="12"/>
  <c r="J118" i="12"/>
  <c r="J120" i="12"/>
  <c r="J121" i="12"/>
  <c r="J123" i="12"/>
  <c r="J124" i="12"/>
  <c r="J126" i="12"/>
  <c r="J128" i="12"/>
  <c r="J129" i="12"/>
  <c r="J130" i="12"/>
  <c r="J100" i="12"/>
  <c r="A12" i="12"/>
  <c r="A11" i="12"/>
  <c r="H11" i="12" l="1"/>
  <c r="G11" i="12"/>
  <c r="F11" i="12"/>
  <c r="H12" i="12"/>
  <c r="G12" i="12"/>
  <c r="F12" i="12"/>
  <c r="A9" i="12"/>
  <c r="A10" i="12"/>
  <c r="A14" i="12"/>
  <c r="A13" i="12"/>
  <c r="A8" i="12"/>
  <c r="K100" i="12"/>
  <c r="N100" i="12"/>
  <c r="J111" i="12"/>
  <c r="J103" i="12"/>
  <c r="J151" i="12"/>
  <c r="J122" i="12"/>
  <c r="L100" i="12"/>
  <c r="J127" i="12"/>
  <c r="J119" i="12"/>
  <c r="J143" i="12"/>
  <c r="J135" i="12"/>
  <c r="J125" i="12"/>
  <c r="J117" i="12"/>
  <c r="J109" i="12"/>
  <c r="J101" i="12"/>
  <c r="J149" i="12"/>
  <c r="J145" i="12"/>
  <c r="J141" i="12"/>
  <c r="J137" i="12"/>
  <c r="J133" i="12"/>
  <c r="M100" i="12"/>
  <c r="I130" i="12"/>
  <c r="I126" i="12"/>
  <c r="I122" i="12"/>
  <c r="I118" i="12"/>
  <c r="I114" i="12"/>
  <c r="I110" i="12"/>
  <c r="I106" i="12"/>
  <c r="I102" i="12"/>
  <c r="I150" i="12"/>
  <c r="I146" i="12"/>
  <c r="I142" i="12"/>
  <c r="I138" i="12"/>
  <c r="I134" i="12"/>
  <c r="I127" i="12"/>
  <c r="I123" i="12"/>
  <c r="I119" i="12"/>
  <c r="I115" i="12"/>
  <c r="I111" i="12"/>
  <c r="I107" i="12"/>
  <c r="I103" i="12"/>
  <c r="I151" i="12"/>
  <c r="I147" i="12"/>
  <c r="I143" i="12"/>
  <c r="I139" i="12"/>
  <c r="I135" i="12"/>
  <c r="I128" i="12"/>
  <c r="I124" i="12"/>
  <c r="I120" i="12"/>
  <c r="I116" i="12"/>
  <c r="I112" i="12"/>
  <c r="I108" i="12"/>
  <c r="I104" i="12"/>
  <c r="I131" i="12"/>
  <c r="I148" i="12"/>
  <c r="I144" i="12"/>
  <c r="I140" i="12"/>
  <c r="I136" i="12"/>
  <c r="I132" i="12"/>
  <c r="I129" i="12"/>
  <c r="I125" i="12"/>
  <c r="I121" i="12"/>
  <c r="I117" i="12"/>
  <c r="I113" i="12"/>
  <c r="I105" i="12"/>
  <c r="I101" i="12"/>
  <c r="I149" i="12"/>
  <c r="I145" i="12"/>
  <c r="I141" i="12"/>
  <c r="I137" i="12"/>
  <c r="I133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53" i="12"/>
  <c r="J54" i="12"/>
  <c r="J55" i="12"/>
  <c r="J56" i="12"/>
  <c r="J57" i="12"/>
  <c r="J58" i="12"/>
  <c r="J59" i="12"/>
  <c r="J60" i="12"/>
  <c r="J61" i="12"/>
  <c r="J62" i="12"/>
  <c r="J63" i="12"/>
  <c r="J64" i="12"/>
  <c r="J65" i="12"/>
  <c r="J66" i="12"/>
  <c r="J67" i="12"/>
  <c r="J68" i="12"/>
  <c r="J69" i="12"/>
  <c r="J70" i="12"/>
  <c r="J71" i="12"/>
  <c r="J72" i="12"/>
  <c r="J73" i="12"/>
  <c r="J74" i="12"/>
  <c r="J75" i="12"/>
  <c r="J76" i="12"/>
  <c r="J77" i="12"/>
  <c r="J78" i="12"/>
  <c r="J79" i="12"/>
  <c r="J80" i="12"/>
  <c r="J81" i="12"/>
  <c r="J82" i="12"/>
  <c r="J83" i="12"/>
  <c r="J84" i="12"/>
  <c r="J85" i="12"/>
  <c r="J86" i="12"/>
  <c r="J87" i="12"/>
  <c r="J88" i="12"/>
  <c r="J89" i="12"/>
  <c r="J90" i="12"/>
  <c r="J91" i="12"/>
  <c r="J92" i="12"/>
  <c r="J93" i="12"/>
  <c r="J94" i="12"/>
  <c r="J95" i="12"/>
  <c r="J96" i="12"/>
  <c r="J97" i="12"/>
  <c r="J98" i="12"/>
  <c r="J99" i="12"/>
  <c r="I176" i="4"/>
  <c r="I179" i="4"/>
  <c r="A179" i="12" s="1"/>
  <c r="I28" i="4"/>
  <c r="A28" i="12" s="1"/>
  <c r="I29" i="4"/>
  <c r="I30" i="4"/>
  <c r="A30" i="12" s="1"/>
  <c r="I31" i="4"/>
  <c r="A31" i="12" s="1"/>
  <c r="I32" i="4"/>
  <c r="I33" i="4"/>
  <c r="I34" i="4"/>
  <c r="A34" i="12" s="1"/>
  <c r="I35" i="4"/>
  <c r="A35" i="12" s="1"/>
  <c r="I36" i="4"/>
  <c r="I37" i="4"/>
  <c r="I38" i="4"/>
  <c r="A38" i="12" s="1"/>
  <c r="I39" i="4"/>
  <c r="A39" i="12" s="1"/>
  <c r="I40" i="4"/>
  <c r="I41" i="4"/>
  <c r="I42" i="4"/>
  <c r="A42" i="12" s="1"/>
  <c r="I43" i="4"/>
  <c r="A43" i="12" s="1"/>
  <c r="I44" i="4"/>
  <c r="I45" i="4"/>
  <c r="I46" i="4"/>
  <c r="A46" i="12" s="1"/>
  <c r="I47" i="4"/>
  <c r="A47" i="12" s="1"/>
  <c r="I48" i="4"/>
  <c r="I49" i="4"/>
  <c r="I50" i="4"/>
  <c r="A50" i="12" s="1"/>
  <c r="I51" i="4"/>
  <c r="A51" i="12" s="1"/>
  <c r="I52" i="4"/>
  <c r="I53" i="4"/>
  <c r="I54" i="4"/>
  <c r="A54" i="12" s="1"/>
  <c r="I55" i="4"/>
  <c r="A55" i="12" s="1"/>
  <c r="I56" i="4"/>
  <c r="I57" i="4"/>
  <c r="I58" i="4"/>
  <c r="A58" i="12" s="1"/>
  <c r="I59" i="4"/>
  <c r="A59" i="12" s="1"/>
  <c r="I60" i="4"/>
  <c r="I61" i="4"/>
  <c r="I62" i="4"/>
  <c r="A62" i="12" s="1"/>
  <c r="I63" i="4"/>
  <c r="A63" i="12" s="1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A99" i="12" s="1"/>
  <c r="I101" i="4"/>
  <c r="A101" i="12" s="1"/>
  <c r="I102" i="4"/>
  <c r="A102" i="12" s="1"/>
  <c r="I103" i="4"/>
  <c r="A103" i="12" s="1"/>
  <c r="I104" i="4"/>
  <c r="A104" i="12" s="1"/>
  <c r="I105" i="4"/>
  <c r="A105" i="12" s="1"/>
  <c r="I106" i="4"/>
  <c r="A106" i="12" s="1"/>
  <c r="I107" i="4"/>
  <c r="A107" i="12" s="1"/>
  <c r="I108" i="4"/>
  <c r="A108" i="12" s="1"/>
  <c r="I109" i="4"/>
  <c r="I110" i="4"/>
  <c r="A110" i="12" s="1"/>
  <c r="I111" i="4"/>
  <c r="A111" i="12" s="1"/>
  <c r="I112" i="4"/>
  <c r="A112" i="12" s="1"/>
  <c r="I113" i="4"/>
  <c r="A113" i="12" s="1"/>
  <c r="I114" i="4"/>
  <c r="A114" i="12" s="1"/>
  <c r="I115" i="4"/>
  <c r="A115" i="12" s="1"/>
  <c r="I116" i="4"/>
  <c r="A116" i="12" s="1"/>
  <c r="I117" i="4"/>
  <c r="A117" i="12" s="1"/>
  <c r="I118" i="4"/>
  <c r="A118" i="12" s="1"/>
  <c r="I119" i="4"/>
  <c r="A119" i="12" s="1"/>
  <c r="I120" i="4"/>
  <c r="A120" i="12" s="1"/>
  <c r="I121" i="4"/>
  <c r="A121" i="12" s="1"/>
  <c r="I122" i="4"/>
  <c r="A122" i="12" s="1"/>
  <c r="I123" i="4"/>
  <c r="A123" i="12" s="1"/>
  <c r="I124" i="4"/>
  <c r="A124" i="12" s="1"/>
  <c r="I125" i="4"/>
  <c r="A125" i="12" s="1"/>
  <c r="I126" i="4"/>
  <c r="A126" i="12" s="1"/>
  <c r="I127" i="4"/>
  <c r="A127" i="12" s="1"/>
  <c r="I128" i="4"/>
  <c r="A128" i="12" s="1"/>
  <c r="I129" i="4"/>
  <c r="A129" i="12" s="1"/>
  <c r="I130" i="4"/>
  <c r="A130" i="12" s="1"/>
  <c r="I131" i="4"/>
  <c r="A131" i="12" s="1"/>
  <c r="I132" i="4"/>
  <c r="A132" i="12" s="1"/>
  <c r="I133" i="4"/>
  <c r="A133" i="12" s="1"/>
  <c r="I134" i="4"/>
  <c r="A134" i="12" s="1"/>
  <c r="I135" i="4"/>
  <c r="A135" i="12" s="1"/>
  <c r="I136" i="4"/>
  <c r="A136" i="12" s="1"/>
  <c r="I137" i="4"/>
  <c r="A137" i="12" s="1"/>
  <c r="I138" i="4"/>
  <c r="A138" i="12" s="1"/>
  <c r="I139" i="4"/>
  <c r="A139" i="12" s="1"/>
  <c r="I140" i="4"/>
  <c r="A140" i="12" s="1"/>
  <c r="I141" i="4"/>
  <c r="A141" i="12" s="1"/>
  <c r="I142" i="4"/>
  <c r="A142" i="12" s="1"/>
  <c r="I143" i="4"/>
  <c r="A143" i="12" s="1"/>
  <c r="I144" i="4"/>
  <c r="A144" i="12" s="1"/>
  <c r="I145" i="4"/>
  <c r="A145" i="12" s="1"/>
  <c r="I146" i="4"/>
  <c r="A146" i="12" s="1"/>
  <c r="I147" i="4"/>
  <c r="A147" i="12" s="1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7" i="4"/>
  <c r="G134" i="12" l="1"/>
  <c r="H134" i="12"/>
  <c r="F134" i="12"/>
  <c r="G110" i="12"/>
  <c r="H110" i="12"/>
  <c r="F110" i="12"/>
  <c r="G142" i="12"/>
  <c r="H142" i="12"/>
  <c r="F142" i="12"/>
  <c r="G130" i="12"/>
  <c r="F130" i="12"/>
  <c r="H130" i="12"/>
  <c r="G118" i="12"/>
  <c r="H118" i="12"/>
  <c r="F118" i="12"/>
  <c r="G102" i="12"/>
  <c r="H102" i="12"/>
  <c r="F102" i="12"/>
  <c r="H145" i="12"/>
  <c r="G145" i="12"/>
  <c r="F145" i="12"/>
  <c r="H141" i="12"/>
  <c r="G141" i="12"/>
  <c r="F141" i="12"/>
  <c r="H137" i="12"/>
  <c r="F137" i="12"/>
  <c r="G137" i="12"/>
  <c r="H133" i="12"/>
  <c r="G133" i="12"/>
  <c r="F133" i="12"/>
  <c r="H129" i="12"/>
  <c r="G129" i="12"/>
  <c r="F129" i="12"/>
  <c r="H125" i="12"/>
  <c r="G125" i="12"/>
  <c r="F125" i="12"/>
  <c r="H121" i="12"/>
  <c r="F121" i="12"/>
  <c r="G121" i="12"/>
  <c r="H117" i="12"/>
  <c r="G117" i="12"/>
  <c r="F117" i="12"/>
  <c r="H113" i="12"/>
  <c r="G113" i="12"/>
  <c r="F113" i="12"/>
  <c r="H105" i="12"/>
  <c r="F105" i="12"/>
  <c r="G105" i="12"/>
  <c r="H101" i="12"/>
  <c r="G101" i="12"/>
  <c r="F101" i="12"/>
  <c r="H28" i="12"/>
  <c r="G28" i="12"/>
  <c r="F28" i="12"/>
  <c r="H13" i="12"/>
  <c r="G13" i="12"/>
  <c r="F13" i="12"/>
  <c r="G10" i="12"/>
  <c r="H10" i="12"/>
  <c r="F10" i="12"/>
  <c r="G146" i="12"/>
  <c r="F146" i="12"/>
  <c r="H146" i="12"/>
  <c r="G126" i="12"/>
  <c r="H126" i="12"/>
  <c r="F126" i="12"/>
  <c r="G114" i="12"/>
  <c r="F114" i="12"/>
  <c r="H114" i="12"/>
  <c r="H144" i="12"/>
  <c r="G144" i="12"/>
  <c r="F144" i="12"/>
  <c r="H140" i="12"/>
  <c r="G140" i="12"/>
  <c r="F140" i="12"/>
  <c r="H136" i="12"/>
  <c r="G136" i="12"/>
  <c r="F136" i="12"/>
  <c r="H132" i="12"/>
  <c r="G132" i="12"/>
  <c r="F132" i="12"/>
  <c r="H128" i="12"/>
  <c r="G128" i="12"/>
  <c r="F128" i="12"/>
  <c r="H124" i="12"/>
  <c r="G124" i="12"/>
  <c r="F124" i="12"/>
  <c r="H120" i="12"/>
  <c r="G120" i="12"/>
  <c r="F120" i="12"/>
  <c r="H116" i="12"/>
  <c r="G116" i="12"/>
  <c r="F116" i="12"/>
  <c r="H112" i="12"/>
  <c r="G112" i="12"/>
  <c r="F112" i="12"/>
  <c r="H108" i="12"/>
  <c r="G108" i="12"/>
  <c r="F108" i="12"/>
  <c r="H104" i="12"/>
  <c r="G104" i="12"/>
  <c r="F104" i="12"/>
  <c r="G99" i="12"/>
  <c r="F99" i="12"/>
  <c r="H99" i="12"/>
  <c r="G63" i="12"/>
  <c r="H63" i="12"/>
  <c r="F63" i="12"/>
  <c r="G59" i="12"/>
  <c r="F59" i="12"/>
  <c r="H59" i="12"/>
  <c r="G55" i="12"/>
  <c r="H55" i="12"/>
  <c r="F55" i="12"/>
  <c r="G51" i="12"/>
  <c r="F51" i="12"/>
  <c r="H51" i="12"/>
  <c r="H47" i="12"/>
  <c r="G47" i="12"/>
  <c r="F47" i="12"/>
  <c r="H43" i="12"/>
  <c r="G43" i="12"/>
  <c r="F43" i="12"/>
  <c r="H39" i="12"/>
  <c r="G39" i="12"/>
  <c r="F39" i="12"/>
  <c r="H35" i="12"/>
  <c r="G35" i="12"/>
  <c r="F35" i="12"/>
  <c r="H31" i="12"/>
  <c r="G31" i="12"/>
  <c r="F31" i="12"/>
  <c r="G179" i="12"/>
  <c r="F179" i="12"/>
  <c r="H179" i="12"/>
  <c r="G138" i="12"/>
  <c r="F138" i="12"/>
  <c r="H138" i="12"/>
  <c r="G122" i="12"/>
  <c r="F122" i="12"/>
  <c r="H122" i="12"/>
  <c r="G106" i="12"/>
  <c r="F106" i="12"/>
  <c r="H106" i="12"/>
  <c r="G147" i="12"/>
  <c r="F147" i="12"/>
  <c r="H147" i="12"/>
  <c r="G143" i="12"/>
  <c r="H143" i="12"/>
  <c r="F143" i="12"/>
  <c r="G139" i="12"/>
  <c r="F139" i="12"/>
  <c r="H139" i="12"/>
  <c r="G135" i="12"/>
  <c r="H135" i="12"/>
  <c r="F135" i="12"/>
  <c r="G131" i="12"/>
  <c r="F131" i="12"/>
  <c r="H131" i="12"/>
  <c r="G127" i="12"/>
  <c r="H127" i="12"/>
  <c r="F127" i="12"/>
  <c r="G123" i="12"/>
  <c r="F123" i="12"/>
  <c r="H123" i="12"/>
  <c r="G119" i="12"/>
  <c r="H119" i="12"/>
  <c r="F119" i="12"/>
  <c r="G115" i="12"/>
  <c r="F115" i="12"/>
  <c r="H115" i="12"/>
  <c r="G111" i="12"/>
  <c r="H111" i="12"/>
  <c r="F111" i="12"/>
  <c r="G107" i="12"/>
  <c r="F107" i="12"/>
  <c r="H107" i="12"/>
  <c r="G103" i="12"/>
  <c r="H103" i="12"/>
  <c r="F103" i="12"/>
  <c r="G62" i="12"/>
  <c r="H62" i="12"/>
  <c r="F62" i="12"/>
  <c r="G58" i="12"/>
  <c r="F58" i="12"/>
  <c r="H58" i="12"/>
  <c r="G54" i="12"/>
  <c r="H54" i="12"/>
  <c r="F54" i="12"/>
  <c r="G50" i="12"/>
  <c r="F50" i="12"/>
  <c r="H50" i="12"/>
  <c r="G46" i="12"/>
  <c r="F46" i="12"/>
  <c r="H46" i="12"/>
  <c r="G42" i="12"/>
  <c r="H42" i="12"/>
  <c r="F42" i="12"/>
  <c r="G38" i="12"/>
  <c r="F38" i="12"/>
  <c r="H38" i="12"/>
  <c r="G34" i="12"/>
  <c r="F34" i="12"/>
  <c r="H34" i="12"/>
  <c r="G30" i="12"/>
  <c r="F30" i="12"/>
  <c r="H30" i="12"/>
  <c r="G14" i="12"/>
  <c r="F14" i="12"/>
  <c r="H14" i="12"/>
  <c r="O9" i="12"/>
  <c r="G9" i="12"/>
  <c r="H9" i="12"/>
  <c r="F9" i="12"/>
  <c r="O8" i="12"/>
  <c r="H8" i="12"/>
  <c r="F8" i="12"/>
  <c r="G8" i="12"/>
  <c r="A173" i="12"/>
  <c r="J173" i="4"/>
  <c r="B173" i="12" s="1"/>
  <c r="A169" i="12"/>
  <c r="J169" i="4"/>
  <c r="B169" i="12" s="1"/>
  <c r="A161" i="12"/>
  <c r="J161" i="4"/>
  <c r="B161" i="12" s="1"/>
  <c r="A157" i="12"/>
  <c r="J157" i="4"/>
  <c r="B157" i="12" s="1"/>
  <c r="A153" i="12"/>
  <c r="J153" i="4"/>
  <c r="B153" i="12" s="1"/>
  <c r="A149" i="12"/>
  <c r="J149" i="4"/>
  <c r="B149" i="12" s="1"/>
  <c r="A109" i="12"/>
  <c r="J96" i="4"/>
  <c r="B96" i="12" s="1"/>
  <c r="A96" i="12"/>
  <c r="J92" i="4"/>
  <c r="B92" i="12" s="1"/>
  <c r="A92" i="12"/>
  <c r="J84" i="4"/>
  <c r="B84" i="12" s="1"/>
  <c r="A84" i="12"/>
  <c r="J80" i="4"/>
  <c r="B80" i="12" s="1"/>
  <c r="A80" i="12"/>
  <c r="J72" i="4"/>
  <c r="B72" i="12" s="1"/>
  <c r="A72" i="12"/>
  <c r="J68" i="4"/>
  <c r="B68" i="12" s="1"/>
  <c r="A68" i="12"/>
  <c r="M68" i="12" s="1"/>
  <c r="J60" i="4"/>
  <c r="B60" i="12" s="1"/>
  <c r="A60" i="12"/>
  <c r="J56" i="4"/>
  <c r="B56" i="12" s="1"/>
  <c r="A56" i="12"/>
  <c r="J52" i="4"/>
  <c r="B52" i="12" s="1"/>
  <c r="A52" i="12"/>
  <c r="J44" i="4"/>
  <c r="B44" i="12" s="1"/>
  <c r="A44" i="12"/>
  <c r="J40" i="4"/>
  <c r="B40" i="12" s="1"/>
  <c r="A40" i="12"/>
  <c r="J36" i="4"/>
  <c r="B36" i="12" s="1"/>
  <c r="A36" i="12"/>
  <c r="L36" i="12" s="1"/>
  <c r="A177" i="12"/>
  <c r="J177" i="4"/>
  <c r="B177" i="12" s="1"/>
  <c r="J168" i="4"/>
  <c r="B168" i="12" s="1"/>
  <c r="A168" i="12"/>
  <c r="J164" i="4"/>
  <c r="B164" i="12" s="1"/>
  <c r="A164" i="12"/>
  <c r="J160" i="4"/>
  <c r="B160" i="12" s="1"/>
  <c r="A160" i="12"/>
  <c r="J152" i="4"/>
  <c r="B152" i="12" s="1"/>
  <c r="A152" i="12"/>
  <c r="J148" i="4"/>
  <c r="B148" i="12" s="1"/>
  <c r="A148" i="12"/>
  <c r="J91" i="4"/>
  <c r="B91" i="12" s="1"/>
  <c r="A91" i="12"/>
  <c r="J87" i="4"/>
  <c r="B87" i="12" s="1"/>
  <c r="A87" i="12"/>
  <c r="J83" i="4"/>
  <c r="B83" i="12" s="1"/>
  <c r="A83" i="12"/>
  <c r="J75" i="4"/>
  <c r="B75" i="12" s="1"/>
  <c r="A75" i="12"/>
  <c r="J71" i="4"/>
  <c r="B71" i="12" s="1"/>
  <c r="A71" i="12"/>
  <c r="J67" i="4"/>
  <c r="B67" i="12" s="1"/>
  <c r="A67" i="12"/>
  <c r="L67" i="12" s="1"/>
  <c r="N179" i="12"/>
  <c r="K179" i="12"/>
  <c r="M179" i="12"/>
  <c r="L179" i="12"/>
  <c r="J171" i="4"/>
  <c r="B171" i="12" s="1"/>
  <c r="A171" i="12"/>
  <c r="J167" i="4"/>
  <c r="B167" i="12" s="1"/>
  <c r="A167" i="12"/>
  <c r="J163" i="4"/>
  <c r="B163" i="12" s="1"/>
  <c r="A163" i="12"/>
  <c r="J155" i="4"/>
  <c r="B155" i="12" s="1"/>
  <c r="A155" i="12"/>
  <c r="J151" i="4"/>
  <c r="B151" i="12" s="1"/>
  <c r="A151" i="12"/>
  <c r="J98" i="4"/>
  <c r="B98" i="12" s="1"/>
  <c r="A98" i="12"/>
  <c r="K98" i="12" s="1"/>
  <c r="J94" i="4"/>
  <c r="B94" i="12" s="1"/>
  <c r="A94" i="12"/>
  <c r="J90" i="4"/>
  <c r="B90" i="12" s="1"/>
  <c r="A90" i="12"/>
  <c r="K90" i="12" s="1"/>
  <c r="J82" i="4"/>
  <c r="B82" i="12" s="1"/>
  <c r="A82" i="12"/>
  <c r="J78" i="4"/>
  <c r="B78" i="12" s="1"/>
  <c r="A78" i="12"/>
  <c r="L78" i="12" s="1"/>
  <c r="J74" i="4"/>
  <c r="B74" i="12" s="1"/>
  <c r="A74" i="12"/>
  <c r="J70" i="4"/>
  <c r="B70" i="12" s="1"/>
  <c r="A70" i="12"/>
  <c r="L70" i="12" s="1"/>
  <c r="J176" i="4"/>
  <c r="B176" i="12" s="1"/>
  <c r="A176" i="12"/>
  <c r="A174" i="12"/>
  <c r="J174" i="4"/>
  <c r="B174" i="12" s="1"/>
  <c r="A170" i="12"/>
  <c r="J170" i="4"/>
  <c r="B170" i="12" s="1"/>
  <c r="J166" i="4"/>
  <c r="B166" i="12" s="1"/>
  <c r="A166" i="12"/>
  <c r="A162" i="12"/>
  <c r="J162" i="4"/>
  <c r="B162" i="12" s="1"/>
  <c r="J158" i="4"/>
  <c r="B158" i="12" s="1"/>
  <c r="A158" i="12"/>
  <c r="A154" i="12"/>
  <c r="J154" i="4"/>
  <c r="B154" i="12" s="1"/>
  <c r="A150" i="12"/>
  <c r="J150" i="4"/>
  <c r="B150" i="12" s="1"/>
  <c r="J97" i="4"/>
  <c r="B97" i="12" s="1"/>
  <c r="A97" i="12"/>
  <c r="J93" i="4"/>
  <c r="B93" i="12" s="1"/>
  <c r="A93" i="12"/>
  <c r="J89" i="4"/>
  <c r="B89" i="12" s="1"/>
  <c r="A89" i="12"/>
  <c r="J85" i="4"/>
  <c r="B85" i="12" s="1"/>
  <c r="A85" i="12"/>
  <c r="N85" i="12" s="1"/>
  <c r="J81" i="4"/>
  <c r="B81" i="12" s="1"/>
  <c r="A81" i="12"/>
  <c r="L81" i="12" s="1"/>
  <c r="J77" i="4"/>
  <c r="B77" i="12" s="1"/>
  <c r="A77" i="12"/>
  <c r="J73" i="4"/>
  <c r="B73" i="12" s="1"/>
  <c r="A73" i="12"/>
  <c r="J69" i="4"/>
  <c r="B69" i="12" s="1"/>
  <c r="A69" i="12"/>
  <c r="L69" i="12" s="1"/>
  <c r="J65" i="4"/>
  <c r="B65" i="12" s="1"/>
  <c r="A65" i="12"/>
  <c r="J61" i="4"/>
  <c r="B61" i="12" s="1"/>
  <c r="A61" i="12"/>
  <c r="N61" i="12" s="1"/>
  <c r="J57" i="4"/>
  <c r="B57" i="12" s="1"/>
  <c r="A57" i="12"/>
  <c r="J53" i="4"/>
  <c r="B53" i="12" s="1"/>
  <c r="A53" i="12"/>
  <c r="J49" i="4"/>
  <c r="B49" i="12" s="1"/>
  <c r="A49" i="12"/>
  <c r="L49" i="12" s="1"/>
  <c r="J45" i="4"/>
  <c r="B45" i="12" s="1"/>
  <c r="A45" i="12"/>
  <c r="N45" i="12" s="1"/>
  <c r="J41" i="4"/>
  <c r="B41" i="12" s="1"/>
  <c r="A41" i="12"/>
  <c r="J37" i="4"/>
  <c r="B37" i="12" s="1"/>
  <c r="A37" i="12"/>
  <c r="L37" i="12" s="1"/>
  <c r="J33" i="4"/>
  <c r="B33" i="12" s="1"/>
  <c r="A33" i="12"/>
  <c r="J29" i="4"/>
  <c r="B29" i="12" s="1"/>
  <c r="A29" i="12"/>
  <c r="A165" i="12"/>
  <c r="J165" i="4"/>
  <c r="B165" i="12" s="1"/>
  <c r="J88" i="4"/>
  <c r="B88" i="12" s="1"/>
  <c r="A88" i="12"/>
  <c r="J76" i="4"/>
  <c r="B76" i="12" s="1"/>
  <c r="A76" i="12"/>
  <c r="J64" i="4"/>
  <c r="B64" i="12" s="1"/>
  <c r="A64" i="12"/>
  <c r="K64" i="12" s="1"/>
  <c r="J48" i="4"/>
  <c r="B48" i="12" s="1"/>
  <c r="A48" i="12"/>
  <c r="J32" i="4"/>
  <c r="B32" i="12" s="1"/>
  <c r="A32" i="12"/>
  <c r="J172" i="4"/>
  <c r="B172" i="12" s="1"/>
  <c r="A172" i="12"/>
  <c r="J156" i="4"/>
  <c r="B156" i="12" s="1"/>
  <c r="A156" i="12"/>
  <c r="J95" i="4"/>
  <c r="B95" i="12" s="1"/>
  <c r="A95" i="12"/>
  <c r="K95" i="12" s="1"/>
  <c r="J79" i="4"/>
  <c r="B79" i="12" s="1"/>
  <c r="A79" i="12"/>
  <c r="J175" i="4"/>
  <c r="B175" i="12" s="1"/>
  <c r="A175" i="12"/>
  <c r="J159" i="4"/>
  <c r="B159" i="12" s="1"/>
  <c r="A159" i="12"/>
  <c r="J86" i="4"/>
  <c r="B86" i="12" s="1"/>
  <c r="A86" i="12"/>
  <c r="J66" i="4"/>
  <c r="B66" i="12" s="1"/>
  <c r="A66" i="12"/>
  <c r="J141" i="4"/>
  <c r="B141" i="12" s="1"/>
  <c r="J133" i="4"/>
  <c r="B133" i="12" s="1"/>
  <c r="J125" i="4"/>
  <c r="B125" i="12" s="1"/>
  <c r="J117" i="4"/>
  <c r="B117" i="12" s="1"/>
  <c r="J113" i="4"/>
  <c r="B113" i="12" s="1"/>
  <c r="J105" i="4"/>
  <c r="B105" i="12" s="1"/>
  <c r="J144" i="4"/>
  <c r="B144" i="12" s="1"/>
  <c r="J136" i="4"/>
  <c r="B136" i="12" s="1"/>
  <c r="J128" i="4"/>
  <c r="B128" i="12" s="1"/>
  <c r="J120" i="4"/>
  <c r="B120" i="12" s="1"/>
  <c r="J112" i="4"/>
  <c r="B112" i="12" s="1"/>
  <c r="J104" i="4"/>
  <c r="B104" i="12" s="1"/>
  <c r="J59" i="4"/>
  <c r="B59" i="12" s="1"/>
  <c r="J51" i="4"/>
  <c r="B51" i="12" s="1"/>
  <c r="J43" i="4"/>
  <c r="B43" i="12" s="1"/>
  <c r="J35" i="4"/>
  <c r="B35" i="12" s="1"/>
  <c r="J31" i="4"/>
  <c r="B31" i="12" s="1"/>
  <c r="K31" i="12"/>
  <c r="J147" i="4"/>
  <c r="B147" i="12" s="1"/>
  <c r="J143" i="4"/>
  <c r="B143" i="12" s="1"/>
  <c r="J139" i="4"/>
  <c r="B139" i="12" s="1"/>
  <c r="J135" i="4"/>
  <c r="B135" i="12" s="1"/>
  <c r="J131" i="4"/>
  <c r="B131" i="12" s="1"/>
  <c r="J127" i="4"/>
  <c r="B127" i="12" s="1"/>
  <c r="J123" i="4"/>
  <c r="B123" i="12" s="1"/>
  <c r="J119" i="4"/>
  <c r="B119" i="12" s="1"/>
  <c r="J115" i="4"/>
  <c r="B115" i="12" s="1"/>
  <c r="J111" i="4"/>
  <c r="B111" i="12" s="1"/>
  <c r="J107" i="4"/>
  <c r="B107" i="12" s="1"/>
  <c r="J103" i="4"/>
  <c r="B103" i="12" s="1"/>
  <c r="J62" i="4"/>
  <c r="B62" i="12" s="1"/>
  <c r="J58" i="4"/>
  <c r="B58" i="12" s="1"/>
  <c r="L58" i="12"/>
  <c r="J54" i="4"/>
  <c r="B54" i="12" s="1"/>
  <c r="J50" i="4"/>
  <c r="B50" i="12" s="1"/>
  <c r="J46" i="4"/>
  <c r="B46" i="12" s="1"/>
  <c r="J42" i="4"/>
  <c r="B42" i="12" s="1"/>
  <c r="L42" i="12"/>
  <c r="J38" i="4"/>
  <c r="B38" i="12" s="1"/>
  <c r="J34" i="4"/>
  <c r="B34" i="12" s="1"/>
  <c r="J30" i="4"/>
  <c r="B30" i="12" s="1"/>
  <c r="N96" i="12"/>
  <c r="J145" i="4"/>
  <c r="B145" i="12" s="1"/>
  <c r="J137" i="4"/>
  <c r="B137" i="12" s="1"/>
  <c r="J129" i="4"/>
  <c r="B129" i="12" s="1"/>
  <c r="J121" i="4"/>
  <c r="B121" i="12" s="1"/>
  <c r="J101" i="4"/>
  <c r="B101" i="12" s="1"/>
  <c r="N44" i="12"/>
  <c r="J140" i="4"/>
  <c r="B140" i="12" s="1"/>
  <c r="J132" i="4"/>
  <c r="B132" i="12" s="1"/>
  <c r="J124" i="4"/>
  <c r="B124" i="12" s="1"/>
  <c r="J116" i="4"/>
  <c r="B116" i="12" s="1"/>
  <c r="J108" i="4"/>
  <c r="B108" i="12" s="1"/>
  <c r="J99" i="4"/>
  <c r="B99" i="12" s="1"/>
  <c r="J63" i="4"/>
  <c r="B63" i="12" s="1"/>
  <c r="J55" i="4"/>
  <c r="B55" i="12" s="1"/>
  <c r="M55" i="12"/>
  <c r="J47" i="4"/>
  <c r="B47" i="12" s="1"/>
  <c r="J39" i="4"/>
  <c r="B39" i="12" s="1"/>
  <c r="M39" i="12"/>
  <c r="J146" i="4"/>
  <c r="B146" i="12" s="1"/>
  <c r="J142" i="4"/>
  <c r="B142" i="12" s="1"/>
  <c r="J138" i="4"/>
  <c r="B138" i="12" s="1"/>
  <c r="J134" i="4"/>
  <c r="B134" i="12" s="1"/>
  <c r="J130" i="4"/>
  <c r="B130" i="12" s="1"/>
  <c r="J126" i="4"/>
  <c r="B126" i="12" s="1"/>
  <c r="J122" i="4"/>
  <c r="B122" i="12" s="1"/>
  <c r="J118" i="4"/>
  <c r="B118" i="12" s="1"/>
  <c r="J114" i="4"/>
  <c r="B114" i="12" s="1"/>
  <c r="J110" i="4"/>
  <c r="B110" i="12" s="1"/>
  <c r="J106" i="4"/>
  <c r="B106" i="12" s="1"/>
  <c r="J102" i="4"/>
  <c r="B102" i="12" s="1"/>
  <c r="N77" i="12"/>
  <c r="N12" i="12"/>
  <c r="M12" i="12"/>
  <c r="L12" i="12"/>
  <c r="K12" i="12"/>
  <c r="N28" i="12"/>
  <c r="M28" i="12"/>
  <c r="L28" i="12"/>
  <c r="K28" i="12"/>
  <c r="M11" i="12"/>
  <c r="K11" i="12"/>
  <c r="L11" i="12"/>
  <c r="N11" i="12"/>
  <c r="M99" i="12"/>
  <c r="N99" i="12"/>
  <c r="K99" i="12"/>
  <c r="L99" i="12"/>
  <c r="M63" i="12"/>
  <c r="N63" i="12"/>
  <c r="K63" i="12"/>
  <c r="L63" i="12"/>
  <c r="L59" i="12"/>
  <c r="M51" i="12"/>
  <c r="N51" i="12"/>
  <c r="K51" i="12"/>
  <c r="L51" i="12"/>
  <c r="M47" i="12"/>
  <c r="N47" i="12"/>
  <c r="K47" i="12"/>
  <c r="L47" i="12"/>
  <c r="L43" i="12"/>
  <c r="M35" i="12"/>
  <c r="N35" i="12"/>
  <c r="K35" i="12"/>
  <c r="L35" i="12"/>
  <c r="N31" i="12"/>
  <c r="N10" i="12"/>
  <c r="K10" i="12"/>
  <c r="L10" i="12"/>
  <c r="M10" i="12"/>
  <c r="N8" i="12"/>
  <c r="M8" i="12"/>
  <c r="K8" i="12"/>
  <c r="L8" i="12"/>
  <c r="M72" i="12"/>
  <c r="K86" i="12"/>
  <c r="N62" i="12"/>
  <c r="K62" i="12"/>
  <c r="M62" i="12"/>
  <c r="L62" i="12"/>
  <c r="K58" i="12"/>
  <c r="M58" i="12"/>
  <c r="N54" i="12"/>
  <c r="K54" i="12"/>
  <c r="M54" i="12"/>
  <c r="L54" i="12"/>
  <c r="N50" i="12"/>
  <c r="N46" i="12"/>
  <c r="K46" i="12"/>
  <c r="M46" i="12"/>
  <c r="L46" i="12"/>
  <c r="K42" i="12"/>
  <c r="M42" i="12"/>
  <c r="N38" i="12"/>
  <c r="K38" i="12"/>
  <c r="M38" i="12"/>
  <c r="L38" i="12"/>
  <c r="N34" i="12"/>
  <c r="N30" i="12"/>
  <c r="K30" i="12"/>
  <c r="M30" i="12"/>
  <c r="L30" i="12"/>
  <c r="N13" i="12"/>
  <c r="M13" i="12"/>
  <c r="L13" i="12"/>
  <c r="K13" i="12"/>
  <c r="L9" i="12"/>
  <c r="N9" i="12"/>
  <c r="K9" i="12"/>
  <c r="M9" i="12"/>
  <c r="I98" i="12"/>
  <c r="I94" i="12"/>
  <c r="I90" i="12"/>
  <c r="I86" i="12"/>
  <c r="I82" i="12"/>
  <c r="I78" i="12"/>
  <c r="I74" i="12"/>
  <c r="I70" i="12"/>
  <c r="I66" i="12"/>
  <c r="I62" i="12"/>
  <c r="I58" i="12"/>
  <c r="I54" i="12"/>
  <c r="I50" i="12"/>
  <c r="I46" i="12"/>
  <c r="I42" i="12"/>
  <c r="I38" i="12"/>
  <c r="I34" i="12"/>
  <c r="I30" i="12"/>
  <c r="I26" i="12"/>
  <c r="I22" i="12"/>
  <c r="I18" i="12"/>
  <c r="I14" i="12"/>
  <c r="I10" i="12"/>
  <c r="I97" i="12"/>
  <c r="I93" i="12"/>
  <c r="I89" i="12"/>
  <c r="I85" i="12"/>
  <c r="I81" i="12"/>
  <c r="I77" i="12"/>
  <c r="I73" i="12"/>
  <c r="I69" i="12"/>
  <c r="I65" i="12"/>
  <c r="I61" i="12"/>
  <c r="I57" i="12"/>
  <c r="I53" i="12"/>
  <c r="I49" i="12"/>
  <c r="I45" i="12"/>
  <c r="I41" i="12"/>
  <c r="I37" i="12"/>
  <c r="I33" i="12"/>
  <c r="I29" i="12"/>
  <c r="I25" i="12"/>
  <c r="I21" i="12"/>
  <c r="I17" i="12"/>
  <c r="I13" i="12"/>
  <c r="I9" i="12"/>
  <c r="I96" i="12"/>
  <c r="I92" i="12"/>
  <c r="I88" i="12"/>
  <c r="I84" i="12"/>
  <c r="I80" i="12"/>
  <c r="I76" i="12"/>
  <c r="I72" i="12"/>
  <c r="I68" i="12"/>
  <c r="I64" i="12"/>
  <c r="I60" i="12"/>
  <c r="I56" i="12"/>
  <c r="I52" i="12"/>
  <c r="I48" i="12"/>
  <c r="I44" i="12"/>
  <c r="I40" i="12"/>
  <c r="I36" i="12"/>
  <c r="I32" i="12"/>
  <c r="I28" i="12"/>
  <c r="I24" i="12"/>
  <c r="I20" i="12"/>
  <c r="I16" i="12"/>
  <c r="I12" i="12"/>
  <c r="I99" i="12"/>
  <c r="I95" i="12"/>
  <c r="I91" i="12"/>
  <c r="I87" i="12"/>
  <c r="I83" i="12"/>
  <c r="I79" i="12"/>
  <c r="I75" i="12"/>
  <c r="I71" i="12"/>
  <c r="I67" i="12"/>
  <c r="I63" i="12"/>
  <c r="I59" i="12"/>
  <c r="I55" i="12"/>
  <c r="I51" i="12"/>
  <c r="I47" i="12"/>
  <c r="I43" i="12"/>
  <c r="I39" i="12"/>
  <c r="I35" i="12"/>
  <c r="I31" i="12"/>
  <c r="I27" i="12"/>
  <c r="I23" i="12"/>
  <c r="I19" i="12"/>
  <c r="I15" i="12"/>
  <c r="I11" i="12"/>
  <c r="I8" i="12"/>
  <c r="J28" i="4"/>
  <c r="B28" i="12" s="1"/>
  <c r="A20" i="12"/>
  <c r="A21" i="12"/>
  <c r="A22" i="12"/>
  <c r="A23" i="12"/>
  <c r="A24" i="12"/>
  <c r="I25" i="4"/>
  <c r="O13" i="12" s="1"/>
  <c r="I26" i="4"/>
  <c r="A26" i="12" s="1"/>
  <c r="I27" i="4"/>
  <c r="A27" i="12" s="1"/>
  <c r="A16" i="12"/>
  <c r="A17" i="12"/>
  <c r="A18" i="12"/>
  <c r="A19" i="12"/>
  <c r="A25" i="12" l="1"/>
  <c r="O12" i="12"/>
  <c r="O11" i="12"/>
  <c r="O10" i="12"/>
  <c r="O14" i="12"/>
  <c r="O138" i="12"/>
  <c r="O30" i="12"/>
  <c r="O34" i="12"/>
  <c r="O38" i="12"/>
  <c r="O42" i="12"/>
  <c r="O46" i="12"/>
  <c r="O50" i="12"/>
  <c r="O54" i="12"/>
  <c r="O58" i="12"/>
  <c r="O62" i="12"/>
  <c r="O103" i="12"/>
  <c r="O107" i="12"/>
  <c r="O111" i="12"/>
  <c r="O115" i="12"/>
  <c r="O119" i="12"/>
  <c r="O123" i="12"/>
  <c r="O127" i="12"/>
  <c r="O131" i="12"/>
  <c r="O135" i="12"/>
  <c r="O139" i="12"/>
  <c r="O143" i="12"/>
  <c r="O147" i="12"/>
  <c r="O106" i="12"/>
  <c r="O122" i="12"/>
  <c r="A15" i="12"/>
  <c r="F15" i="12" s="1"/>
  <c r="O178" i="12"/>
  <c r="O100" i="12"/>
  <c r="O179" i="12"/>
  <c r="O31" i="12"/>
  <c r="O35" i="12"/>
  <c r="O39" i="12"/>
  <c r="O43" i="12"/>
  <c r="O47" i="12"/>
  <c r="O51" i="12"/>
  <c r="O55" i="12"/>
  <c r="O59" i="12"/>
  <c r="O63" i="12"/>
  <c r="O99" i="12"/>
  <c r="O104" i="12"/>
  <c r="O108" i="12"/>
  <c r="O112" i="12"/>
  <c r="O116" i="12"/>
  <c r="O120" i="12"/>
  <c r="O124" i="12"/>
  <c r="O128" i="12"/>
  <c r="O132" i="12"/>
  <c r="O136" i="12"/>
  <c r="O140" i="12"/>
  <c r="O144" i="12"/>
  <c r="O114" i="12"/>
  <c r="O126" i="12"/>
  <c r="O146" i="12"/>
  <c r="O28" i="12"/>
  <c r="O101" i="12"/>
  <c r="O105" i="12"/>
  <c r="O113" i="12"/>
  <c r="O117" i="12"/>
  <c r="O121" i="12"/>
  <c r="O125" i="12"/>
  <c r="O129" i="12"/>
  <c r="O133" i="12"/>
  <c r="O137" i="12"/>
  <c r="O141" i="12"/>
  <c r="O145" i="12"/>
  <c r="O102" i="12"/>
  <c r="O118" i="12"/>
  <c r="O130" i="12"/>
  <c r="O142" i="12"/>
  <c r="O110" i="12"/>
  <c r="O134" i="12"/>
  <c r="O24" i="12"/>
  <c r="H24" i="12"/>
  <c r="G24" i="12"/>
  <c r="F24" i="12"/>
  <c r="O18" i="12"/>
  <c r="G18" i="12"/>
  <c r="F18" i="12"/>
  <c r="H18" i="12"/>
  <c r="O27" i="12"/>
  <c r="H27" i="12"/>
  <c r="G27" i="12"/>
  <c r="F27" i="12"/>
  <c r="O23" i="12"/>
  <c r="H23" i="12"/>
  <c r="G23" i="12"/>
  <c r="F23" i="12"/>
  <c r="G150" i="12"/>
  <c r="H150" i="12"/>
  <c r="F150" i="12"/>
  <c r="G174" i="12"/>
  <c r="H174" i="12"/>
  <c r="F174" i="12"/>
  <c r="O67" i="12"/>
  <c r="G67" i="12"/>
  <c r="F67" i="12"/>
  <c r="H67" i="12"/>
  <c r="O75" i="12"/>
  <c r="G75" i="12"/>
  <c r="F75" i="12"/>
  <c r="H75" i="12"/>
  <c r="O87" i="12"/>
  <c r="G87" i="12"/>
  <c r="H87" i="12"/>
  <c r="F87" i="12"/>
  <c r="H148" i="12"/>
  <c r="G148" i="12"/>
  <c r="F148" i="12"/>
  <c r="H160" i="12"/>
  <c r="G160" i="12"/>
  <c r="F160" i="12"/>
  <c r="H168" i="12"/>
  <c r="G168" i="12"/>
  <c r="F168" i="12"/>
  <c r="O36" i="12"/>
  <c r="H36" i="12"/>
  <c r="G36" i="12"/>
  <c r="F36" i="12"/>
  <c r="O44" i="12"/>
  <c r="H44" i="12"/>
  <c r="G44" i="12"/>
  <c r="F44" i="12"/>
  <c r="O56" i="12"/>
  <c r="H56" i="12"/>
  <c r="G56" i="12"/>
  <c r="F56" i="12"/>
  <c r="O68" i="12"/>
  <c r="H68" i="12"/>
  <c r="G68" i="12"/>
  <c r="F68" i="12"/>
  <c r="O80" i="12"/>
  <c r="H80" i="12"/>
  <c r="G80" i="12"/>
  <c r="F80" i="12"/>
  <c r="O92" i="12"/>
  <c r="H92" i="12"/>
  <c r="G92" i="12"/>
  <c r="F92" i="12"/>
  <c r="O109" i="12"/>
  <c r="H109" i="12"/>
  <c r="G109" i="12"/>
  <c r="F109" i="12"/>
  <c r="H153" i="12"/>
  <c r="F153" i="12"/>
  <c r="G153" i="12"/>
  <c r="H161" i="12"/>
  <c r="G161" i="12"/>
  <c r="F161" i="12"/>
  <c r="H173" i="12"/>
  <c r="G173" i="12"/>
  <c r="F173" i="12"/>
  <c r="O26" i="12"/>
  <c r="G26" i="12"/>
  <c r="H26" i="12"/>
  <c r="F26" i="12"/>
  <c r="O86" i="12"/>
  <c r="G86" i="12"/>
  <c r="H86" i="12"/>
  <c r="F86" i="12"/>
  <c r="G175" i="12"/>
  <c r="H175" i="12"/>
  <c r="F175" i="12"/>
  <c r="O95" i="12"/>
  <c r="G95" i="12"/>
  <c r="H95" i="12"/>
  <c r="F95" i="12"/>
  <c r="H172" i="12"/>
  <c r="G172" i="12"/>
  <c r="F172" i="12"/>
  <c r="O48" i="12"/>
  <c r="H48" i="12"/>
  <c r="G48" i="12"/>
  <c r="F48" i="12"/>
  <c r="O76" i="12"/>
  <c r="H76" i="12"/>
  <c r="G76" i="12"/>
  <c r="F76" i="12"/>
  <c r="O33" i="12"/>
  <c r="H33" i="12"/>
  <c r="G33" i="12"/>
  <c r="F33" i="12"/>
  <c r="O41" i="12"/>
  <c r="H41" i="12"/>
  <c r="F41" i="12"/>
  <c r="G41" i="12"/>
  <c r="O49" i="12"/>
  <c r="H49" i="12"/>
  <c r="G49" i="12"/>
  <c r="F49" i="12"/>
  <c r="O57" i="12"/>
  <c r="H57" i="12"/>
  <c r="F57" i="12"/>
  <c r="G57" i="12"/>
  <c r="O65" i="12"/>
  <c r="H65" i="12"/>
  <c r="G65" i="12"/>
  <c r="F65" i="12"/>
  <c r="O73" i="12"/>
  <c r="H73" i="12"/>
  <c r="F73" i="12"/>
  <c r="G73" i="12"/>
  <c r="O81" i="12"/>
  <c r="H81" i="12"/>
  <c r="G81" i="12"/>
  <c r="F81" i="12"/>
  <c r="O89" i="12"/>
  <c r="H89" i="12"/>
  <c r="F89" i="12"/>
  <c r="G89" i="12"/>
  <c r="O97" i="12"/>
  <c r="H97" i="12"/>
  <c r="G97" i="12"/>
  <c r="F97" i="12"/>
  <c r="H176" i="12"/>
  <c r="G176" i="12"/>
  <c r="F176" i="12"/>
  <c r="O74" i="12"/>
  <c r="G74" i="12"/>
  <c r="F74" i="12"/>
  <c r="H74" i="12"/>
  <c r="O82" i="12"/>
  <c r="G82" i="12"/>
  <c r="F82" i="12"/>
  <c r="H82" i="12"/>
  <c r="O94" i="12"/>
  <c r="G94" i="12"/>
  <c r="H94" i="12"/>
  <c r="F94" i="12"/>
  <c r="G151" i="12"/>
  <c r="H151" i="12"/>
  <c r="F151" i="12"/>
  <c r="G163" i="12"/>
  <c r="F163" i="12"/>
  <c r="H163" i="12"/>
  <c r="G171" i="12"/>
  <c r="F171" i="12"/>
  <c r="H171" i="12"/>
  <c r="O20" i="12"/>
  <c r="H20" i="12"/>
  <c r="G20" i="12"/>
  <c r="F20" i="12"/>
  <c r="O17" i="12"/>
  <c r="H17" i="12"/>
  <c r="G17" i="12"/>
  <c r="F17" i="12"/>
  <c r="O22" i="12"/>
  <c r="G22" i="12"/>
  <c r="F22" i="12"/>
  <c r="H22" i="12"/>
  <c r="O16" i="12"/>
  <c r="H16" i="12"/>
  <c r="G16" i="12"/>
  <c r="F16" i="12"/>
  <c r="O25" i="12"/>
  <c r="H25" i="12"/>
  <c r="F25" i="12"/>
  <c r="G25" i="12"/>
  <c r="O21" i="12"/>
  <c r="H21" i="12"/>
  <c r="G21" i="12"/>
  <c r="F21" i="12"/>
  <c r="H165" i="12"/>
  <c r="G165" i="12"/>
  <c r="F165" i="12"/>
  <c r="G154" i="12"/>
  <c r="F154" i="12"/>
  <c r="H154" i="12"/>
  <c r="G162" i="12"/>
  <c r="F162" i="12"/>
  <c r="H162" i="12"/>
  <c r="G170" i="12"/>
  <c r="H170" i="12"/>
  <c r="F170" i="12"/>
  <c r="O71" i="12"/>
  <c r="G71" i="12"/>
  <c r="H71" i="12"/>
  <c r="F71" i="12"/>
  <c r="O83" i="12"/>
  <c r="G83" i="12"/>
  <c r="F83" i="12"/>
  <c r="H83" i="12"/>
  <c r="O91" i="12"/>
  <c r="G91" i="12"/>
  <c r="F91" i="12"/>
  <c r="H91" i="12"/>
  <c r="H152" i="12"/>
  <c r="G152" i="12"/>
  <c r="F152" i="12"/>
  <c r="H164" i="12"/>
  <c r="G164" i="12"/>
  <c r="F164" i="12"/>
  <c r="O40" i="12"/>
  <c r="H40" i="12"/>
  <c r="G40" i="12"/>
  <c r="F40" i="12"/>
  <c r="O52" i="12"/>
  <c r="H52" i="12"/>
  <c r="G52" i="12"/>
  <c r="F52" i="12"/>
  <c r="O60" i="12"/>
  <c r="H60" i="12"/>
  <c r="G60" i="12"/>
  <c r="F60" i="12"/>
  <c r="O72" i="12"/>
  <c r="H72" i="12"/>
  <c r="G72" i="12"/>
  <c r="F72" i="12"/>
  <c r="O84" i="12"/>
  <c r="H84" i="12"/>
  <c r="G84" i="12"/>
  <c r="F84" i="12"/>
  <c r="O96" i="12"/>
  <c r="H96" i="12"/>
  <c r="G96" i="12"/>
  <c r="F96" i="12"/>
  <c r="H149" i="12"/>
  <c r="G149" i="12"/>
  <c r="F149" i="12"/>
  <c r="H157" i="12"/>
  <c r="G157" i="12"/>
  <c r="F157" i="12"/>
  <c r="H169" i="12"/>
  <c r="F169" i="12"/>
  <c r="G169" i="12"/>
  <c r="O19" i="12"/>
  <c r="H19" i="12"/>
  <c r="G19" i="12"/>
  <c r="F19" i="12"/>
  <c r="O66" i="12"/>
  <c r="G66" i="12"/>
  <c r="F66" i="12"/>
  <c r="H66" i="12"/>
  <c r="G159" i="12"/>
  <c r="H159" i="12"/>
  <c r="F159" i="12"/>
  <c r="O79" i="12"/>
  <c r="G79" i="12"/>
  <c r="H79" i="12"/>
  <c r="F79" i="12"/>
  <c r="H156" i="12"/>
  <c r="G156" i="12"/>
  <c r="F156" i="12"/>
  <c r="O32" i="12"/>
  <c r="H32" i="12"/>
  <c r="G32" i="12"/>
  <c r="F32" i="12"/>
  <c r="O64" i="12"/>
  <c r="H64" i="12"/>
  <c r="G64" i="12"/>
  <c r="F64" i="12"/>
  <c r="O88" i="12"/>
  <c r="H88" i="12"/>
  <c r="G88" i="12"/>
  <c r="F88" i="12"/>
  <c r="O29" i="12"/>
  <c r="H29" i="12"/>
  <c r="G29" i="12"/>
  <c r="F29" i="12"/>
  <c r="O37" i="12"/>
  <c r="H37" i="12"/>
  <c r="G37" i="12"/>
  <c r="F37" i="12"/>
  <c r="O45" i="12"/>
  <c r="H45" i="12"/>
  <c r="G45" i="12"/>
  <c r="F45" i="12"/>
  <c r="O53" i="12"/>
  <c r="H53" i="12"/>
  <c r="G53" i="12"/>
  <c r="F53" i="12"/>
  <c r="O61" i="12"/>
  <c r="H61" i="12"/>
  <c r="G61" i="12"/>
  <c r="F61" i="12"/>
  <c r="O69" i="12"/>
  <c r="H69" i="12"/>
  <c r="G69" i="12"/>
  <c r="F69" i="12"/>
  <c r="O77" i="12"/>
  <c r="H77" i="12"/>
  <c r="G77" i="12"/>
  <c r="F77" i="12"/>
  <c r="O85" i="12"/>
  <c r="H85" i="12"/>
  <c r="G85" i="12"/>
  <c r="F85" i="12"/>
  <c r="O93" i="12"/>
  <c r="H93" i="12"/>
  <c r="G93" i="12"/>
  <c r="F93" i="12"/>
  <c r="G158" i="12"/>
  <c r="H158" i="12"/>
  <c r="F158" i="12"/>
  <c r="G166" i="12"/>
  <c r="H166" i="12"/>
  <c r="F166" i="12"/>
  <c r="O70" i="12"/>
  <c r="G70" i="12"/>
  <c r="H70" i="12"/>
  <c r="F70" i="12"/>
  <c r="O78" i="12"/>
  <c r="G78" i="12"/>
  <c r="H78" i="12"/>
  <c r="F78" i="12"/>
  <c r="O90" i="12"/>
  <c r="G90" i="12"/>
  <c r="F90" i="12"/>
  <c r="H90" i="12"/>
  <c r="O98" i="12"/>
  <c r="G98" i="12"/>
  <c r="F98" i="12"/>
  <c r="H98" i="12"/>
  <c r="G155" i="12"/>
  <c r="F155" i="12"/>
  <c r="H155" i="12"/>
  <c r="G167" i="12"/>
  <c r="H167" i="12"/>
  <c r="F167" i="12"/>
  <c r="H177" i="12"/>
  <c r="G177" i="12"/>
  <c r="F177" i="12"/>
  <c r="N86" i="12"/>
  <c r="K60" i="12"/>
  <c r="N89" i="12"/>
  <c r="M49" i="12"/>
  <c r="K73" i="12"/>
  <c r="K71" i="12"/>
  <c r="L91" i="12"/>
  <c r="N40" i="12"/>
  <c r="N72" i="12"/>
  <c r="M84" i="12"/>
  <c r="K41" i="12"/>
  <c r="M73" i="12"/>
  <c r="M40" i="12"/>
  <c r="N84" i="12"/>
  <c r="M66" i="12"/>
  <c r="M70" i="12"/>
  <c r="M78" i="12"/>
  <c r="N90" i="12"/>
  <c r="N98" i="12"/>
  <c r="M36" i="12"/>
  <c r="L88" i="12"/>
  <c r="K85" i="12"/>
  <c r="M67" i="12"/>
  <c r="L79" i="12"/>
  <c r="K87" i="12"/>
  <c r="K79" i="12"/>
  <c r="K80" i="12"/>
  <c r="K66" i="12"/>
  <c r="M90" i="12"/>
  <c r="N32" i="12"/>
  <c r="L44" i="12"/>
  <c r="M88" i="12"/>
  <c r="L93" i="12"/>
  <c r="L29" i="12"/>
  <c r="K45" i="12"/>
  <c r="L61" i="12"/>
  <c r="K77" i="12"/>
  <c r="N66" i="12"/>
  <c r="L74" i="12"/>
  <c r="L82" i="12"/>
  <c r="M98" i="12"/>
  <c r="L68" i="12"/>
  <c r="L80" i="12"/>
  <c r="N88" i="12"/>
  <c r="M41" i="12"/>
  <c r="L57" i="12"/>
  <c r="M81" i="12"/>
  <c r="M85" i="12"/>
  <c r="N71" i="12"/>
  <c r="K83" i="12"/>
  <c r="L64" i="12"/>
  <c r="M45" i="12"/>
  <c r="M77" i="12"/>
  <c r="M97" i="12"/>
  <c r="L109" i="12"/>
  <c r="M109" i="12"/>
  <c r="L94" i="12"/>
  <c r="L52" i="12"/>
  <c r="N60" i="12"/>
  <c r="M33" i="12"/>
  <c r="L41" i="12"/>
  <c r="M65" i="12"/>
  <c r="L73" i="12"/>
  <c r="N83" i="12"/>
  <c r="N95" i="12"/>
  <c r="M96" i="12"/>
  <c r="L97" i="12"/>
  <c r="M94" i="12"/>
  <c r="M52" i="12"/>
  <c r="L72" i="12"/>
  <c r="L33" i="12"/>
  <c r="N57" i="12"/>
  <c r="L65" i="12"/>
  <c r="M95" i="12"/>
  <c r="L40" i="12"/>
  <c r="K48" i="12"/>
  <c r="L89" i="12"/>
  <c r="M74" i="12"/>
  <c r="K74" i="12"/>
  <c r="K82" i="12"/>
  <c r="L86" i="12"/>
  <c r="K94" i="12"/>
  <c r="N52" i="12"/>
  <c r="L60" i="12"/>
  <c r="K33" i="12"/>
  <c r="N33" i="12"/>
  <c r="K49" i="12"/>
  <c r="N49" i="12"/>
  <c r="K57" i="12"/>
  <c r="K65" i="12"/>
  <c r="N65" i="12"/>
  <c r="K81" i="12"/>
  <c r="N81" i="12"/>
  <c r="L71" i="12"/>
  <c r="M71" i="12"/>
  <c r="M83" i="12"/>
  <c r="L48" i="12"/>
  <c r="M48" i="12"/>
  <c r="K76" i="12"/>
  <c r="K84" i="12"/>
  <c r="L96" i="12"/>
  <c r="K89" i="12"/>
  <c r="K97" i="12"/>
  <c r="N97" i="12"/>
  <c r="N74" i="12"/>
  <c r="M82" i="12"/>
  <c r="N82" i="12"/>
  <c r="M86" i="12"/>
  <c r="N94" i="12"/>
  <c r="K52" i="12"/>
  <c r="M60" i="12"/>
  <c r="K72" i="12"/>
  <c r="N41" i="12"/>
  <c r="M57" i="12"/>
  <c r="N73" i="12"/>
  <c r="K27" i="12"/>
  <c r="L83" i="12"/>
  <c r="L95" i="12"/>
  <c r="K40" i="12"/>
  <c r="N48" i="12"/>
  <c r="M76" i="12"/>
  <c r="L84" i="12"/>
  <c r="K96" i="12"/>
  <c r="M89" i="12"/>
  <c r="M165" i="12"/>
  <c r="L165" i="12"/>
  <c r="N165" i="12"/>
  <c r="K165" i="12"/>
  <c r="O165" i="12"/>
  <c r="L154" i="12"/>
  <c r="M154" i="12"/>
  <c r="K154" i="12"/>
  <c r="N154" i="12"/>
  <c r="O154" i="12"/>
  <c r="K162" i="12"/>
  <c r="N162" i="12"/>
  <c r="L162" i="12"/>
  <c r="M162" i="12"/>
  <c r="O162" i="12"/>
  <c r="N170" i="12"/>
  <c r="L170" i="12"/>
  <c r="M170" i="12"/>
  <c r="K170" i="12"/>
  <c r="O170" i="12"/>
  <c r="N177" i="12"/>
  <c r="M177" i="12"/>
  <c r="L177" i="12"/>
  <c r="K177" i="12"/>
  <c r="O177" i="12"/>
  <c r="N149" i="12"/>
  <c r="K149" i="12"/>
  <c r="O149" i="12"/>
  <c r="M149" i="12"/>
  <c r="L149" i="12"/>
  <c r="N169" i="12"/>
  <c r="M169" i="12"/>
  <c r="L169" i="12"/>
  <c r="K169" i="12"/>
  <c r="O169" i="12"/>
  <c r="N156" i="12"/>
  <c r="K156" i="12"/>
  <c r="M156" i="12"/>
  <c r="L156" i="12"/>
  <c r="O156" i="12"/>
  <c r="M158" i="12"/>
  <c r="K158" i="12"/>
  <c r="L158" i="12"/>
  <c r="N158" i="12"/>
  <c r="O158" i="12"/>
  <c r="K167" i="12"/>
  <c r="M167" i="12"/>
  <c r="N167" i="12"/>
  <c r="L167" i="12"/>
  <c r="O167" i="12"/>
  <c r="M148" i="12"/>
  <c r="L148" i="12"/>
  <c r="N148" i="12"/>
  <c r="O148" i="12"/>
  <c r="K148" i="12"/>
  <c r="K168" i="12"/>
  <c r="M168" i="12"/>
  <c r="N168" i="12"/>
  <c r="L168" i="12"/>
  <c r="O168" i="12"/>
  <c r="K70" i="12"/>
  <c r="K78" i="12"/>
  <c r="N36" i="12"/>
  <c r="L66" i="12"/>
  <c r="N70" i="12"/>
  <c r="N78" i="12"/>
  <c r="L90" i="12"/>
  <c r="L98" i="12"/>
  <c r="K36" i="12"/>
  <c r="K68" i="12"/>
  <c r="M80" i="12"/>
  <c r="K88" i="12"/>
  <c r="N92" i="12"/>
  <c r="L85" i="12"/>
  <c r="K93" i="12"/>
  <c r="N93" i="12"/>
  <c r="L27" i="12"/>
  <c r="N67" i="12"/>
  <c r="L75" i="12"/>
  <c r="M79" i="12"/>
  <c r="L87" i="12"/>
  <c r="M87" i="12"/>
  <c r="K56" i="12"/>
  <c r="N37" i="12"/>
  <c r="L45" i="12"/>
  <c r="N53" i="12"/>
  <c r="N69" i="12"/>
  <c r="L77" i="12"/>
  <c r="M53" i="12"/>
  <c r="N109" i="12"/>
  <c r="N56" i="12"/>
  <c r="N175" i="12"/>
  <c r="K175" i="12"/>
  <c r="L175" i="12"/>
  <c r="M175" i="12"/>
  <c r="O175" i="12"/>
  <c r="L172" i="12"/>
  <c r="K172" i="12"/>
  <c r="M172" i="12"/>
  <c r="N172" i="12"/>
  <c r="O172" i="12"/>
  <c r="L176" i="12"/>
  <c r="K176" i="12"/>
  <c r="N176" i="12"/>
  <c r="M176" i="12"/>
  <c r="O176" i="12"/>
  <c r="K151" i="12"/>
  <c r="N151" i="12"/>
  <c r="M151" i="12"/>
  <c r="O151" i="12"/>
  <c r="L151" i="12"/>
  <c r="L163" i="12"/>
  <c r="K163" i="12"/>
  <c r="M163" i="12"/>
  <c r="N163" i="12"/>
  <c r="O163" i="12"/>
  <c r="M171" i="12"/>
  <c r="N171" i="12"/>
  <c r="K171" i="12"/>
  <c r="L171" i="12"/>
  <c r="O171" i="12"/>
  <c r="N152" i="12"/>
  <c r="L152" i="12"/>
  <c r="M152" i="12"/>
  <c r="K152" i="12"/>
  <c r="O152" i="12"/>
  <c r="M164" i="12"/>
  <c r="N164" i="12"/>
  <c r="L164" i="12"/>
  <c r="K164" i="12"/>
  <c r="O164" i="12"/>
  <c r="L157" i="12"/>
  <c r="M157" i="12"/>
  <c r="K157" i="12"/>
  <c r="N157" i="12"/>
  <c r="O157" i="12"/>
  <c r="K159" i="12"/>
  <c r="N159" i="12"/>
  <c r="L159" i="12"/>
  <c r="M159" i="12"/>
  <c r="O159" i="12"/>
  <c r="N166" i="12"/>
  <c r="L166" i="12"/>
  <c r="K166" i="12"/>
  <c r="M166" i="12"/>
  <c r="O166" i="12"/>
  <c r="N155" i="12"/>
  <c r="L155" i="12"/>
  <c r="K155" i="12"/>
  <c r="M155" i="12"/>
  <c r="O155" i="12"/>
  <c r="M160" i="12"/>
  <c r="N160" i="12"/>
  <c r="L160" i="12"/>
  <c r="K160" i="12"/>
  <c r="O160" i="12"/>
  <c r="N68" i="12"/>
  <c r="M93" i="12"/>
  <c r="N27" i="12"/>
  <c r="K67" i="12"/>
  <c r="N79" i="12"/>
  <c r="N87" i="12"/>
  <c r="M64" i="12"/>
  <c r="K37" i="12"/>
  <c r="M37" i="12"/>
  <c r="K69" i="12"/>
  <c r="M69" i="12"/>
  <c r="N29" i="12"/>
  <c r="M32" i="12"/>
  <c r="M92" i="12"/>
  <c r="N150" i="12"/>
  <c r="O150" i="12"/>
  <c r="M150" i="12"/>
  <c r="K150" i="12"/>
  <c r="L150" i="12"/>
  <c r="M174" i="12"/>
  <c r="L174" i="12"/>
  <c r="N174" i="12"/>
  <c r="K174" i="12"/>
  <c r="O174" i="12"/>
  <c r="K109" i="12"/>
  <c r="N153" i="12"/>
  <c r="L153" i="12"/>
  <c r="M153" i="12"/>
  <c r="K153" i="12"/>
  <c r="O153" i="12"/>
  <c r="M161" i="12"/>
  <c r="L161" i="12"/>
  <c r="N161" i="12"/>
  <c r="K161" i="12"/>
  <c r="O161" i="12"/>
  <c r="K173" i="12"/>
  <c r="L173" i="12"/>
  <c r="N173" i="12"/>
  <c r="M173" i="12"/>
  <c r="O173" i="12"/>
  <c r="J26" i="4"/>
  <c r="B26" i="12" s="1"/>
  <c r="N110" i="12"/>
  <c r="M110" i="12"/>
  <c r="L110" i="12"/>
  <c r="K110" i="12"/>
  <c r="N126" i="12"/>
  <c r="K126" i="12"/>
  <c r="L126" i="12"/>
  <c r="M126" i="12"/>
  <c r="M142" i="12"/>
  <c r="K142" i="12"/>
  <c r="N142" i="12"/>
  <c r="L142" i="12"/>
  <c r="L112" i="12"/>
  <c r="K112" i="12"/>
  <c r="N112" i="12"/>
  <c r="M112" i="12"/>
  <c r="J25" i="4"/>
  <c r="B25" i="12" s="1"/>
  <c r="L92" i="12"/>
  <c r="L31" i="12"/>
  <c r="K39" i="12"/>
  <c r="K55" i="12"/>
  <c r="K75" i="12"/>
  <c r="N91" i="12"/>
  <c r="M56" i="12"/>
  <c r="M106" i="12"/>
  <c r="L106" i="12"/>
  <c r="N106" i="12"/>
  <c r="K106" i="12"/>
  <c r="K114" i="12"/>
  <c r="N114" i="12"/>
  <c r="M114" i="12"/>
  <c r="L114" i="12"/>
  <c r="L121" i="12"/>
  <c r="M121" i="12"/>
  <c r="N121" i="12"/>
  <c r="K121" i="12"/>
  <c r="N111" i="12"/>
  <c r="L111" i="12"/>
  <c r="K111" i="12"/>
  <c r="M111" i="12"/>
  <c r="K127" i="12"/>
  <c r="M127" i="12"/>
  <c r="L127" i="12"/>
  <c r="N127" i="12"/>
  <c r="L135" i="12"/>
  <c r="N135" i="12"/>
  <c r="M135" i="12"/>
  <c r="K135" i="12"/>
  <c r="N128" i="12"/>
  <c r="L128" i="12"/>
  <c r="K128" i="12"/>
  <c r="M128" i="12"/>
  <c r="M144" i="12"/>
  <c r="L144" i="12"/>
  <c r="N144" i="12"/>
  <c r="K144" i="12"/>
  <c r="L105" i="12"/>
  <c r="N105" i="12"/>
  <c r="K105" i="12"/>
  <c r="M105" i="12"/>
  <c r="N133" i="12"/>
  <c r="K133" i="12"/>
  <c r="M133" i="12"/>
  <c r="L133" i="12"/>
  <c r="K34" i="12"/>
  <c r="N42" i="12"/>
  <c r="K50" i="12"/>
  <c r="N58" i="12"/>
  <c r="K32" i="12"/>
  <c r="K44" i="12"/>
  <c r="M44" i="12"/>
  <c r="N80" i="12"/>
  <c r="M27" i="12"/>
  <c r="N39" i="12"/>
  <c r="M43" i="12"/>
  <c r="N55" i="12"/>
  <c r="M59" i="12"/>
  <c r="M75" i="12"/>
  <c r="M91" i="12"/>
  <c r="L56" i="12"/>
  <c r="N64" i="12"/>
  <c r="L76" i="12"/>
  <c r="M29" i="12"/>
  <c r="L53" i="12"/>
  <c r="M61" i="12"/>
  <c r="K122" i="12"/>
  <c r="N122" i="12"/>
  <c r="L122" i="12"/>
  <c r="M122" i="12"/>
  <c r="N130" i="12"/>
  <c r="L130" i="12"/>
  <c r="K130" i="12"/>
  <c r="M130" i="12"/>
  <c r="M138" i="12"/>
  <c r="N138" i="12"/>
  <c r="L138" i="12"/>
  <c r="K138" i="12"/>
  <c r="M146" i="12"/>
  <c r="L146" i="12"/>
  <c r="N146" i="12"/>
  <c r="K146" i="12"/>
  <c r="L104" i="12"/>
  <c r="K104" i="12"/>
  <c r="N104" i="12"/>
  <c r="M104" i="12"/>
  <c r="K120" i="12"/>
  <c r="L120" i="12"/>
  <c r="N120" i="12"/>
  <c r="M120" i="12"/>
  <c r="M136" i="12"/>
  <c r="N136" i="12"/>
  <c r="L136" i="12"/>
  <c r="K136" i="12"/>
  <c r="L125" i="12"/>
  <c r="N125" i="12"/>
  <c r="K125" i="12"/>
  <c r="M125" i="12"/>
  <c r="M102" i="12"/>
  <c r="K102" i="12"/>
  <c r="N102" i="12"/>
  <c r="L102" i="12"/>
  <c r="N118" i="12"/>
  <c r="K118" i="12"/>
  <c r="L118" i="12"/>
  <c r="M118" i="12"/>
  <c r="N134" i="12"/>
  <c r="K134" i="12"/>
  <c r="M134" i="12"/>
  <c r="L134" i="12"/>
  <c r="M116" i="12"/>
  <c r="K116" i="12"/>
  <c r="N116" i="12"/>
  <c r="L116" i="12"/>
  <c r="K132" i="12"/>
  <c r="N132" i="12"/>
  <c r="M132" i="12"/>
  <c r="L132" i="12"/>
  <c r="L34" i="12"/>
  <c r="L50" i="12"/>
  <c r="M31" i="12"/>
  <c r="K43" i="12"/>
  <c r="N59" i="12"/>
  <c r="K59" i="12"/>
  <c r="K91" i="12"/>
  <c r="N76" i="12"/>
  <c r="L137" i="12"/>
  <c r="K137" i="12"/>
  <c r="M137" i="12"/>
  <c r="N137" i="12"/>
  <c r="N103" i="12"/>
  <c r="L103" i="12"/>
  <c r="K103" i="12"/>
  <c r="M103" i="12"/>
  <c r="M119" i="12"/>
  <c r="N119" i="12"/>
  <c r="L119" i="12"/>
  <c r="K119" i="12"/>
  <c r="M143" i="12"/>
  <c r="L143" i="12"/>
  <c r="N143" i="12"/>
  <c r="K143" i="12"/>
  <c r="K117" i="12"/>
  <c r="N117" i="12"/>
  <c r="L117" i="12"/>
  <c r="M117" i="12"/>
  <c r="M34" i="12"/>
  <c r="M50" i="12"/>
  <c r="L32" i="12"/>
  <c r="K92" i="12"/>
  <c r="L39" i="12"/>
  <c r="N43" i="12"/>
  <c r="L55" i="12"/>
  <c r="N75" i="12"/>
  <c r="K29" i="12"/>
  <c r="K53" i="12"/>
  <c r="K61" i="12"/>
  <c r="M108" i="12"/>
  <c r="N108" i="12"/>
  <c r="K108" i="12"/>
  <c r="L108" i="12"/>
  <c r="N124" i="12"/>
  <c r="M124" i="12"/>
  <c r="L124" i="12"/>
  <c r="K124" i="12"/>
  <c r="L140" i="12"/>
  <c r="K140" i="12"/>
  <c r="M140" i="12"/>
  <c r="N140" i="12"/>
  <c r="N101" i="12"/>
  <c r="L101" i="12"/>
  <c r="K101" i="12"/>
  <c r="M101" i="12"/>
  <c r="L129" i="12"/>
  <c r="N129" i="12"/>
  <c r="K129" i="12"/>
  <c r="M129" i="12"/>
  <c r="L145" i="12"/>
  <c r="N145" i="12"/>
  <c r="K145" i="12"/>
  <c r="M145" i="12"/>
  <c r="M107" i="12"/>
  <c r="N107" i="12"/>
  <c r="L107" i="12"/>
  <c r="K107" i="12"/>
  <c r="L115" i="12"/>
  <c r="N115" i="12"/>
  <c r="K115" i="12"/>
  <c r="M115" i="12"/>
  <c r="K123" i="12"/>
  <c r="N123" i="12"/>
  <c r="M123" i="12"/>
  <c r="L123" i="12"/>
  <c r="K131" i="12"/>
  <c r="M131" i="12"/>
  <c r="L131" i="12"/>
  <c r="N131" i="12"/>
  <c r="K139" i="12"/>
  <c r="N139" i="12"/>
  <c r="M139" i="12"/>
  <c r="L139" i="12"/>
  <c r="M147" i="12"/>
  <c r="N147" i="12"/>
  <c r="K147" i="12"/>
  <c r="L147" i="12"/>
  <c r="K113" i="12"/>
  <c r="N113" i="12"/>
  <c r="L113" i="12"/>
  <c r="M113" i="12"/>
  <c r="M141" i="12"/>
  <c r="L141" i="12"/>
  <c r="K141" i="12"/>
  <c r="N141" i="12"/>
  <c r="I109" i="12"/>
  <c r="I100" i="12"/>
  <c r="J27" i="4"/>
  <c r="B27" i="12" s="1"/>
  <c r="G15" i="12" l="1"/>
  <c r="H15" i="12"/>
  <c r="O15" i="12"/>
  <c r="M23" i="12"/>
  <c r="L23" i="12"/>
  <c r="K23" i="12"/>
  <c r="N23" i="12"/>
  <c r="M17" i="12"/>
  <c r="K17" i="12"/>
  <c r="L17" i="12"/>
  <c r="N17" i="12"/>
  <c r="N19" i="12"/>
  <c r="L19" i="12"/>
  <c r="K19" i="12"/>
  <c r="M19" i="12"/>
  <c r="M21" i="12"/>
  <c r="K21" i="12"/>
  <c r="L21" i="12"/>
  <c r="N21" i="12"/>
  <c r="N20" i="12"/>
  <c r="K20" i="12"/>
  <c r="L20" i="12"/>
  <c r="M20" i="12"/>
  <c r="L26" i="12"/>
  <c r="N26" i="12"/>
  <c r="K26" i="12"/>
  <c r="M26" i="12"/>
  <c r="N16" i="12"/>
  <c r="L16" i="12"/>
  <c r="M16" i="12"/>
  <c r="K16" i="12"/>
  <c r="K24" i="12"/>
  <c r="L24" i="12"/>
  <c r="M24" i="12"/>
  <c r="N24" i="12"/>
  <c r="M18" i="12"/>
  <c r="L18" i="12"/>
  <c r="K18" i="12"/>
  <c r="N18" i="12"/>
  <c r="N22" i="12"/>
  <c r="M22" i="12"/>
  <c r="L22" i="12"/>
  <c r="K22" i="12"/>
  <c r="K15" i="12"/>
  <c r="L15" i="12"/>
  <c r="M15" i="12"/>
  <c r="N15" i="12"/>
  <c r="M25" i="12"/>
  <c r="L25" i="12"/>
  <c r="K25" i="12"/>
  <c r="N25" i="12"/>
  <c r="N14" i="12"/>
  <c r="K14" i="12"/>
  <c r="M14" i="12"/>
  <c r="L14" i="12"/>
  <c r="A8" i="4"/>
  <c r="B8" i="4" l="1"/>
  <c r="A9" i="4"/>
  <c r="A10" i="4" s="1"/>
  <c r="P6" i="3"/>
  <c r="A11" i="4" l="1"/>
  <c r="B11" i="4" s="1"/>
  <c r="B9" i="4"/>
  <c r="J9" i="4" s="1"/>
  <c r="B9" i="12" s="1"/>
  <c r="J8" i="4"/>
  <c r="B8" i="12" s="1"/>
  <c r="A12" i="4" l="1"/>
  <c r="A13" i="4" s="1"/>
  <c r="A14" i="4" s="1"/>
  <c r="J11" i="4"/>
  <c r="B10" i="4"/>
  <c r="J10" i="4" s="1"/>
  <c r="B10" i="12" l="1"/>
  <c r="B11" i="12"/>
  <c r="B12" i="4" l="1"/>
  <c r="J12" i="4" s="1"/>
  <c r="B12" i="12" l="1"/>
  <c r="B14" i="4"/>
  <c r="J14" i="4" s="1"/>
  <c r="B13" i="4"/>
  <c r="J13" i="4" s="1"/>
  <c r="B14" i="12" l="1"/>
  <c r="B13" i="12"/>
  <c r="B15" i="4"/>
  <c r="D44" i="3" l="1"/>
  <c r="H44" i="3" s="1"/>
  <c r="D46" i="3"/>
  <c r="J46" i="3" s="1"/>
  <c r="D45" i="3"/>
  <c r="D48" i="3"/>
  <c r="L48" i="3" s="1"/>
  <c r="N53" i="3"/>
  <c r="N52" i="3"/>
  <c r="B15" i="12"/>
  <c r="B16" i="4"/>
  <c r="E63" i="3"/>
  <c r="G63" i="3"/>
  <c r="G31" i="3"/>
  <c r="E31" i="3"/>
  <c r="F63" i="3"/>
  <c r="F31" i="3"/>
  <c r="L44" i="3" l="1"/>
  <c r="M44" i="3"/>
  <c r="J44" i="3"/>
  <c r="I44" i="3"/>
  <c r="K44" i="3"/>
  <c r="I46" i="3"/>
  <c r="M46" i="3"/>
  <c r="H46" i="3"/>
  <c r="L46" i="3"/>
  <c r="K46" i="3"/>
  <c r="K45" i="3"/>
  <c r="I45" i="3"/>
  <c r="M45" i="3"/>
  <c r="J45" i="3"/>
  <c r="H45" i="3"/>
  <c r="L45" i="3"/>
  <c r="K48" i="3"/>
  <c r="I48" i="3"/>
  <c r="H48" i="3"/>
  <c r="J48" i="3"/>
  <c r="M48" i="3"/>
  <c r="B16" i="12"/>
  <c r="B17" i="4"/>
  <c r="B17" i="12" l="1"/>
  <c r="B18" i="4"/>
  <c r="B18" i="12" l="1"/>
  <c r="B19" i="4"/>
  <c r="B19" i="12" l="1"/>
  <c r="B20" i="4"/>
  <c r="B20" i="12" l="1"/>
  <c r="B21" i="4"/>
  <c r="B21" i="12" l="1"/>
  <c r="B22" i="4"/>
  <c r="B22" i="12" l="1"/>
  <c r="B23" i="4"/>
  <c r="B23" i="12" l="1"/>
  <c r="B24" i="4"/>
  <c r="B24" i="12" l="1"/>
  <c r="A25" i="4"/>
  <c r="B25" i="4" s="1"/>
  <c r="A26" i="4" l="1"/>
  <c r="B26" i="4" s="1"/>
  <c r="A27" i="4" l="1"/>
  <c r="B27" i="4" s="1"/>
  <c r="A28" i="4" l="1"/>
  <c r="B28" i="4" s="1"/>
  <c r="A29" i="4" l="1"/>
  <c r="B29" i="4" s="1"/>
  <c r="A30" i="4" l="1"/>
  <c r="B30" i="4" s="1"/>
  <c r="A31" i="4" l="1"/>
  <c r="B31" i="4" s="1"/>
  <c r="A32" i="4" l="1"/>
  <c r="B32" i="4" s="1"/>
  <c r="A33" i="4" l="1"/>
  <c r="B33" i="4" s="1"/>
  <c r="A34" i="4" l="1"/>
  <c r="B34" i="4" s="1"/>
  <c r="A35" i="4" l="1"/>
  <c r="B35" i="4" s="1"/>
  <c r="A36" i="4" l="1"/>
  <c r="B36" i="4" s="1"/>
  <c r="A37" i="4" l="1"/>
  <c r="B37" i="4" s="1"/>
  <c r="A38" i="4" l="1"/>
  <c r="B38" i="4" s="1"/>
  <c r="A39" i="4" l="1"/>
  <c r="B39" i="4" s="1"/>
  <c r="A40" i="4" l="1"/>
  <c r="B40" i="4" s="1"/>
  <c r="A41" i="4" l="1"/>
  <c r="B41" i="4" s="1"/>
  <c r="A42" i="4" l="1"/>
  <c r="B42" i="4" s="1"/>
  <c r="A43" i="4" l="1"/>
  <c r="B43" i="4" s="1"/>
  <c r="A44" i="4" l="1"/>
  <c r="B44" i="4" s="1"/>
  <c r="A45" i="4" l="1"/>
  <c r="B45" i="4" s="1"/>
  <c r="A46" i="4" l="1"/>
  <c r="B46" i="4" s="1"/>
  <c r="A47" i="4" l="1"/>
  <c r="B47" i="4" s="1"/>
  <c r="A48" i="4" l="1"/>
  <c r="B48" i="4" s="1"/>
  <c r="A49" i="4" l="1"/>
  <c r="B49" i="4" s="1"/>
  <c r="A50" i="4" l="1"/>
  <c r="B50" i="4" s="1"/>
  <c r="A51" i="4" l="1"/>
  <c r="B51" i="4" s="1"/>
  <c r="A52" i="4" l="1"/>
  <c r="B52" i="4" s="1"/>
  <c r="A53" i="4" l="1"/>
  <c r="B53" i="4" s="1"/>
  <c r="A54" i="4" l="1"/>
  <c r="B54" i="4" s="1"/>
  <c r="A55" i="4" l="1"/>
  <c r="B55" i="4" s="1"/>
  <c r="A56" i="4" l="1"/>
  <c r="B56" i="4" s="1"/>
  <c r="A57" i="4" l="1"/>
  <c r="B57" i="4" s="1"/>
  <c r="A58" i="4" l="1"/>
  <c r="B58" i="4" s="1"/>
  <c r="A59" i="4" l="1"/>
  <c r="B59" i="4" s="1"/>
  <c r="A60" i="4" l="1"/>
  <c r="B60" i="4" s="1"/>
  <c r="A61" i="4" l="1"/>
  <c r="B61" i="4" s="1"/>
  <c r="A62" i="4" l="1"/>
  <c r="B62" i="4" s="1"/>
  <c r="A63" i="4" l="1"/>
  <c r="B63" i="4" s="1"/>
  <c r="A64" i="4" l="1"/>
  <c r="B64" i="4" s="1"/>
  <c r="A65" i="4" l="1"/>
  <c r="B65" i="4" s="1"/>
  <c r="A66" i="4" l="1"/>
  <c r="B66" i="4" s="1"/>
  <c r="A67" i="4" l="1"/>
  <c r="B67" i="4" s="1"/>
  <c r="A68" i="4" l="1"/>
  <c r="B68" i="4" s="1"/>
  <c r="A69" i="4" l="1"/>
  <c r="B69" i="4" s="1"/>
  <c r="A70" i="4" l="1"/>
  <c r="B70" i="4" s="1"/>
  <c r="A71" i="4" l="1"/>
  <c r="B71" i="4" s="1"/>
  <c r="A72" i="4" l="1"/>
  <c r="B72" i="4" s="1"/>
  <c r="A73" i="4" l="1"/>
  <c r="B73" i="4" s="1"/>
  <c r="A74" i="4" l="1"/>
  <c r="B74" i="4" s="1"/>
  <c r="A75" i="4" l="1"/>
  <c r="B75" i="4" s="1"/>
  <c r="A76" i="4" l="1"/>
  <c r="B76" i="4" s="1"/>
  <c r="A77" i="4" l="1"/>
  <c r="B77" i="4" s="1"/>
  <c r="A78" i="4" l="1"/>
  <c r="B78" i="4" s="1"/>
  <c r="A79" i="4" l="1"/>
  <c r="B79" i="4" s="1"/>
  <c r="A80" i="4" l="1"/>
  <c r="B80" i="4" s="1"/>
  <c r="A81" i="4" l="1"/>
  <c r="B81" i="4" s="1"/>
  <c r="A82" i="4" l="1"/>
  <c r="B82" i="4" s="1"/>
  <c r="A83" i="4" l="1"/>
  <c r="B83" i="4" s="1"/>
  <c r="A84" i="4" l="1"/>
  <c r="B84" i="4" s="1"/>
  <c r="A85" i="4" l="1"/>
  <c r="B85" i="4" s="1"/>
  <c r="A86" i="4" l="1"/>
  <c r="B86" i="4" s="1"/>
  <c r="A87" i="4" l="1"/>
  <c r="B87" i="4" s="1"/>
  <c r="A88" i="4" l="1"/>
  <c r="B88" i="4" s="1"/>
  <c r="A89" i="4" l="1"/>
  <c r="B89" i="4" s="1"/>
  <c r="A90" i="4" l="1"/>
  <c r="B90" i="4" s="1"/>
  <c r="J100" i="4"/>
  <c r="B100" i="12" s="1"/>
  <c r="A91" i="4" l="1"/>
  <c r="B91" i="4" s="1"/>
  <c r="A92" i="4" l="1"/>
  <c r="B92" i="4" s="1"/>
  <c r="A93" i="4" l="1"/>
  <c r="B93" i="4" s="1"/>
  <c r="A94" i="4" l="1"/>
  <c r="B94" i="4" s="1"/>
  <c r="A95" i="4" l="1"/>
  <c r="B95" i="4" s="1"/>
  <c r="A96" i="4" l="1"/>
  <c r="B96" i="4" s="1"/>
  <c r="A97" i="4" l="1"/>
  <c r="B97" i="4" s="1"/>
  <c r="A98" i="4" l="1"/>
  <c r="B98" i="4" s="1"/>
  <c r="A99" i="4" l="1"/>
  <c r="B99" i="4" s="1"/>
  <c r="A100" i="4" l="1"/>
  <c r="B100" i="4" s="1"/>
  <c r="A101" i="4" l="1"/>
  <c r="B101" i="4" s="1"/>
  <c r="A102" i="4" l="1"/>
  <c r="B102" i="4" s="1"/>
  <c r="A103" i="4" l="1"/>
  <c r="B103" i="4" s="1"/>
  <c r="A104" i="4" l="1"/>
  <c r="B104" i="4" s="1"/>
  <c r="A105" i="4" l="1"/>
  <c r="B105" i="4" s="1"/>
  <c r="A106" i="4" l="1"/>
  <c r="B106" i="4" s="1"/>
  <c r="A107" i="4" l="1"/>
  <c r="B107" i="4" s="1"/>
  <c r="A108" i="4" l="1"/>
  <c r="B108" i="4" s="1"/>
  <c r="A109" i="4" l="1"/>
  <c r="B109" i="4" s="1"/>
  <c r="J109" i="4" l="1"/>
  <c r="B109" i="12" s="1"/>
  <c r="A110" i="4"/>
  <c r="B110" i="4" s="1"/>
  <c r="A111" i="4" l="1"/>
  <c r="B111" i="4" s="1"/>
  <c r="A112" i="4" l="1"/>
  <c r="B112" i="4" s="1"/>
  <c r="A113" i="4" l="1"/>
  <c r="B113" i="4" s="1"/>
  <c r="A114" i="4" l="1"/>
  <c r="B114" i="4" s="1"/>
  <c r="A115" i="4" l="1"/>
  <c r="B115" i="4" s="1"/>
  <c r="A116" i="4" l="1"/>
  <c r="B116" i="4" s="1"/>
  <c r="A117" i="4" l="1"/>
  <c r="B117" i="4" s="1"/>
  <c r="A118" i="4" l="1"/>
  <c r="B118" i="4" s="1"/>
  <c r="A119" i="4" l="1"/>
  <c r="B119" i="4" s="1"/>
  <c r="A120" i="4" l="1"/>
  <c r="B120" i="4" s="1"/>
  <c r="A121" i="4" l="1"/>
  <c r="B121" i="4" s="1"/>
  <c r="A122" i="4" l="1"/>
  <c r="B122" i="4" s="1"/>
  <c r="A123" i="4" l="1"/>
  <c r="B123" i="4" s="1"/>
  <c r="A124" i="4" l="1"/>
  <c r="B124" i="4" s="1"/>
  <c r="A125" i="4" l="1"/>
  <c r="B125" i="4" s="1"/>
  <c r="A126" i="4" l="1"/>
  <c r="B126" i="4" s="1"/>
  <c r="A127" i="4" l="1"/>
  <c r="B127" i="4" s="1"/>
  <c r="A128" i="4" l="1"/>
  <c r="B128" i="4" s="1"/>
  <c r="A129" i="4" l="1"/>
  <c r="B129" i="4" s="1"/>
  <c r="A130" i="4" l="1"/>
  <c r="B130" i="4" s="1"/>
  <c r="A131" i="4" l="1"/>
  <c r="B131" i="4" s="1"/>
  <c r="A132" i="4" l="1"/>
  <c r="B132" i="4" s="1"/>
  <c r="A133" i="4" l="1"/>
  <c r="B133" i="4" s="1"/>
  <c r="A134" i="4" l="1"/>
  <c r="B134" i="4" s="1"/>
  <c r="A135" i="4" l="1"/>
  <c r="B135" i="4" s="1"/>
  <c r="A136" i="4" l="1"/>
  <c r="B136" i="4" s="1"/>
  <c r="A137" i="4" l="1"/>
  <c r="B137" i="4" s="1"/>
  <c r="A138" i="4" l="1"/>
  <c r="B138" i="4" s="1"/>
  <c r="A139" i="4" l="1"/>
  <c r="B139" i="4" s="1"/>
  <c r="A140" i="4" l="1"/>
  <c r="B140" i="4" s="1"/>
  <c r="A141" i="4" l="1"/>
  <c r="B141" i="4" s="1"/>
  <c r="A142" i="4" l="1"/>
  <c r="B142" i="4" s="1"/>
  <c r="A143" i="4" l="1"/>
  <c r="B143" i="4" s="1"/>
  <c r="A144" i="4" l="1"/>
  <c r="B144" i="4" s="1"/>
  <c r="A145" i="4" l="1"/>
  <c r="B145" i="4" s="1"/>
  <c r="A146" i="4" l="1"/>
  <c r="B146" i="4" s="1"/>
  <c r="A147" i="4" l="1"/>
  <c r="B147" i="4" s="1"/>
  <c r="A148" i="4" l="1"/>
  <c r="B148" i="4" s="1"/>
  <c r="A149" i="4" l="1"/>
  <c r="B149" i="4" s="1"/>
  <c r="A150" i="4" l="1"/>
  <c r="B150" i="4" s="1"/>
  <c r="A151" i="4" l="1"/>
  <c r="B151" i="4" s="1"/>
  <c r="A152" i="4" l="1"/>
  <c r="B152" i="4" s="1"/>
  <c r="A153" i="4" l="1"/>
  <c r="B153" i="4" s="1"/>
  <c r="A154" i="4" l="1"/>
  <c r="B154" i="4" s="1"/>
  <c r="A155" i="4" l="1"/>
  <c r="B155" i="4" s="1"/>
  <c r="A156" i="4" l="1"/>
  <c r="B156" i="4" s="1"/>
  <c r="A157" i="4" l="1"/>
  <c r="B157" i="4" s="1"/>
  <c r="A158" i="4" l="1"/>
  <c r="B158" i="4" s="1"/>
  <c r="A159" i="4" l="1"/>
  <c r="B159" i="4" s="1"/>
  <c r="A160" i="4" l="1"/>
  <c r="B160" i="4" s="1"/>
  <c r="A161" i="4" l="1"/>
  <c r="B161" i="4" s="1"/>
  <c r="A162" i="4" l="1"/>
  <c r="B162" i="4" s="1"/>
  <c r="A163" i="4" l="1"/>
  <c r="B163" i="4" s="1"/>
  <c r="A164" i="4" l="1"/>
  <c r="B164" i="4" s="1"/>
  <c r="A165" i="4" l="1"/>
  <c r="B165" i="4" s="1"/>
  <c r="A166" i="4" l="1"/>
  <c r="B166" i="4" s="1"/>
  <c r="A167" i="4" l="1"/>
  <c r="B167" i="4" s="1"/>
  <c r="A168" i="4" l="1"/>
  <c r="B168" i="4" s="1"/>
  <c r="A169" i="4" l="1"/>
  <c r="B169" i="4" s="1"/>
  <c r="A170" i="4" l="1"/>
  <c r="B170" i="4" s="1"/>
  <c r="A171" i="4" l="1"/>
  <c r="B171" i="4" s="1"/>
  <c r="A172" i="4" l="1"/>
  <c r="B172" i="4" s="1"/>
  <c r="A173" i="4" l="1"/>
  <c r="B173" i="4" s="1"/>
  <c r="A174" i="4" l="1"/>
  <c r="B174" i="4" s="1"/>
  <c r="A175" i="4" l="1"/>
  <c r="B175" i="4" s="1"/>
  <c r="A176" i="4" l="1"/>
  <c r="B176" i="4" s="1"/>
  <c r="A177" i="4" l="1"/>
  <c r="B177" i="4" s="1"/>
  <c r="A178" i="4" l="1"/>
  <c r="B178" i="4" s="1"/>
  <c r="A179" i="4" l="1"/>
  <c r="B179" i="4" s="1"/>
  <c r="J179" i="4" l="1"/>
  <c r="B179" i="12" s="1"/>
  <c r="E15" i="3" s="1"/>
  <c r="C40" i="3" l="1"/>
  <c r="D15" i="3"/>
  <c r="D40" i="3"/>
  <c r="N40" i="3"/>
  <c r="E40" i="3"/>
  <c r="E43" i="3" s="1"/>
  <c r="B15" i="3"/>
  <c r="F15" i="3"/>
  <c r="F18" i="3" s="1"/>
  <c r="B44" i="3"/>
  <c r="G40" i="3"/>
  <c r="G43" i="3" s="1"/>
  <c r="E18" i="3"/>
  <c r="B46" i="3"/>
  <c r="C15" i="3"/>
  <c r="F40" i="3"/>
  <c r="F43" i="3" s="1"/>
  <c r="G15" i="3"/>
  <c r="G18" i="3" s="1"/>
  <c r="N15" i="3"/>
  <c r="B40" i="3"/>
  <c r="B45" i="3"/>
  <c r="E44" i="3"/>
  <c r="G45" i="3"/>
  <c r="N44" i="3"/>
  <c r="C44" i="3"/>
  <c r="N45" i="3"/>
  <c r="G44" i="3"/>
  <c r="F44" i="3"/>
  <c r="C46" i="3"/>
  <c r="E45" i="3"/>
  <c r="F45" i="3"/>
  <c r="C45" i="3"/>
  <c r="G52" i="3"/>
  <c r="F48" i="3"/>
  <c r="N48" i="3"/>
  <c r="B64" i="3"/>
  <c r="E53" i="3"/>
  <c r="G53" i="3"/>
  <c r="G64" i="3"/>
  <c r="G72" i="3" s="1"/>
  <c r="F53" i="3"/>
  <c r="E64" i="3"/>
  <c r="E72" i="3" s="1"/>
  <c r="G48" i="3"/>
  <c r="C64" i="3"/>
  <c r="C48" i="3"/>
  <c r="B48" i="3"/>
  <c r="D64" i="3"/>
  <c r="N64" i="3"/>
  <c r="F64" i="3"/>
  <c r="F72" i="3" s="1"/>
  <c r="E48" i="3"/>
  <c r="C49" i="3"/>
  <c r="B49" i="3"/>
  <c r="F52" i="3"/>
  <c r="D52" i="3"/>
  <c r="C53" i="3"/>
  <c r="D53" i="3"/>
  <c r="D51" i="3"/>
  <c r="B53" i="3"/>
  <c r="E52" i="3"/>
  <c r="C52" i="3"/>
  <c r="B52" i="3"/>
  <c r="G32" i="3"/>
  <c r="F21" i="3"/>
  <c r="N33" i="3"/>
  <c r="E34" i="3"/>
  <c r="G21" i="3"/>
  <c r="G34" i="3"/>
  <c r="C21" i="3"/>
  <c r="C33" i="3"/>
  <c r="F33" i="3"/>
  <c r="E21" i="3"/>
  <c r="G33" i="3"/>
  <c r="D32" i="3"/>
  <c r="E51" i="3"/>
  <c r="D34" i="3"/>
  <c r="F20" i="3"/>
  <c r="D21" i="3"/>
  <c r="C34" i="3"/>
  <c r="N21" i="3"/>
  <c r="B33" i="3"/>
  <c r="E33" i="3"/>
  <c r="G51" i="3"/>
  <c r="B34" i="3"/>
  <c r="N34" i="3"/>
  <c r="C51" i="3"/>
  <c r="F51" i="3"/>
  <c r="F34" i="3"/>
  <c r="C20" i="3"/>
  <c r="C32" i="3"/>
  <c r="F32" i="3"/>
  <c r="E20" i="3"/>
  <c r="N51" i="3"/>
  <c r="N32" i="3"/>
  <c r="D33" i="3"/>
  <c r="E32" i="3"/>
  <c r="N20" i="3"/>
  <c r="D20" i="3"/>
  <c r="G20" i="3"/>
  <c r="B51" i="3"/>
  <c r="B32" i="3"/>
  <c r="E50" i="3"/>
  <c r="F50" i="3"/>
  <c r="E49" i="3"/>
  <c r="G50" i="3"/>
  <c r="G49" i="3"/>
  <c r="N50" i="3"/>
  <c r="N49" i="3"/>
  <c r="B50" i="3"/>
  <c r="F49" i="3"/>
  <c r="C50" i="3"/>
  <c r="C19" i="3"/>
  <c r="N19" i="3"/>
  <c r="B19" i="3"/>
  <c r="E19" i="3"/>
  <c r="D19" i="3"/>
  <c r="G19" i="3"/>
  <c r="F19" i="3"/>
  <c r="N46" i="3"/>
  <c r="F46" i="3"/>
  <c r="G46" i="3"/>
  <c r="E46" i="3"/>
  <c r="M15" i="3" l="1"/>
  <c r="L15" i="3"/>
  <c r="H15" i="3"/>
  <c r="I15" i="3"/>
  <c r="J15" i="3"/>
  <c r="K15" i="3"/>
  <c r="H40" i="3"/>
  <c r="M40" i="3"/>
  <c r="L40" i="3"/>
  <c r="I40" i="3"/>
  <c r="J40" i="3"/>
  <c r="K40" i="3"/>
  <c r="G26" i="3"/>
  <c r="H64" i="3"/>
  <c r="I64" i="3"/>
  <c r="M64" i="3"/>
  <c r="J64" i="3"/>
  <c r="K64" i="3"/>
  <c r="L64" i="3"/>
  <c r="F26" i="3"/>
  <c r="E39" i="3"/>
  <c r="L53" i="3"/>
  <c r="K53" i="3"/>
  <c r="I53" i="3"/>
  <c r="H53" i="3"/>
  <c r="M53" i="3"/>
  <c r="J53" i="3"/>
  <c r="L52" i="3"/>
  <c r="I52" i="3"/>
  <c r="H52" i="3"/>
  <c r="M52" i="3"/>
  <c r="K52" i="3"/>
  <c r="J52" i="3"/>
  <c r="H51" i="3"/>
  <c r="J51" i="3"/>
  <c r="K51" i="3"/>
  <c r="M51" i="3"/>
  <c r="L51" i="3"/>
  <c r="I51" i="3"/>
  <c r="K34" i="3"/>
  <c r="H34" i="3"/>
  <c r="J34" i="3"/>
  <c r="I34" i="3"/>
  <c r="L34" i="3"/>
  <c r="M34" i="3"/>
  <c r="E26" i="3"/>
  <c r="J33" i="3"/>
  <c r="M33" i="3"/>
  <c r="I33" i="3"/>
  <c r="K33" i="3"/>
  <c r="L33" i="3"/>
  <c r="H33" i="3"/>
  <c r="F39" i="3"/>
  <c r="L20" i="3"/>
  <c r="K20" i="3"/>
  <c r="I20" i="3"/>
  <c r="J20" i="3"/>
  <c r="M20" i="3"/>
  <c r="H20" i="3"/>
  <c r="K21" i="3"/>
  <c r="H21" i="3"/>
  <c r="J21" i="3"/>
  <c r="I21" i="3"/>
  <c r="L21" i="3"/>
  <c r="M21" i="3"/>
  <c r="L32" i="3"/>
  <c r="I32" i="3"/>
  <c r="J32" i="3"/>
  <c r="K32" i="3"/>
  <c r="M32" i="3"/>
  <c r="H32" i="3"/>
  <c r="G39" i="3"/>
  <c r="J19" i="3"/>
  <c r="K19" i="3"/>
  <c r="I19" i="3"/>
  <c r="H19" i="3"/>
  <c r="M19" i="3"/>
  <c r="L19" i="3"/>
  <c r="G54" i="3"/>
  <c r="F54" i="3"/>
  <c r="E54" i="3"/>
  <c r="E73" i="3" l="1"/>
  <c r="F73" i="3"/>
  <c r="G7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K8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9" authorId="0" shapeId="0" xr:uid="{00000000-0006-0000-0300-00000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0" authorId="0" shapeId="0" xr:uid="{00000000-0006-0000-0300-00000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1" authorId="0" shapeId="0" xr:uid="{00000000-0006-0000-0300-00000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2" authorId="0" shapeId="0" xr:uid="{00000000-0006-0000-0300-00000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3" authorId="0" shapeId="0" xr:uid="{00000000-0006-0000-0300-00000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4" authorId="0" shapeId="0" xr:uid="{00000000-0006-0000-0300-00000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5" authorId="0" shapeId="0" xr:uid="{00000000-0006-0000-0300-00000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6" authorId="0" shapeId="0" xr:uid="{00000000-0006-0000-0300-00000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7" authorId="0" shapeId="0" xr:uid="{00000000-0006-0000-0300-00000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8" authorId="0" shapeId="0" xr:uid="{00000000-0006-0000-0300-00000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9" authorId="0" shapeId="0" xr:uid="{00000000-0006-0000-0300-00000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23" authorId="0" shapeId="0" xr:uid="{00000000-0006-0000-0300-00000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24" authorId="0" shapeId="0" xr:uid="{00000000-0006-0000-0300-00000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25" authorId="0" shapeId="0" xr:uid="{00000000-0006-0000-0300-00000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26" authorId="0" shapeId="0" xr:uid="{00000000-0006-0000-0300-00001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27" authorId="0" shapeId="0" xr:uid="{00000000-0006-0000-0300-00001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28" authorId="0" shapeId="0" xr:uid="{00000000-0006-0000-0300-00001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29" authorId="0" shapeId="0" xr:uid="{00000000-0006-0000-0300-00001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30" authorId="0" shapeId="0" xr:uid="{00000000-0006-0000-0300-00001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31" authorId="0" shapeId="0" xr:uid="{00000000-0006-0000-0300-00001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32" authorId="0" shapeId="0" xr:uid="{00000000-0006-0000-0300-00001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33" authorId="0" shapeId="0" xr:uid="{00000000-0006-0000-0300-00001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34" authorId="0" shapeId="0" xr:uid="{00000000-0006-0000-0300-00001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35" authorId="0" shapeId="0" xr:uid="{00000000-0006-0000-0300-00001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36" authorId="0" shapeId="0" xr:uid="{00000000-0006-0000-0300-00001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37" authorId="0" shapeId="0" xr:uid="{00000000-0006-0000-0300-00001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38" authorId="0" shapeId="0" xr:uid="{00000000-0006-0000-0300-00001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39" authorId="0" shapeId="0" xr:uid="{00000000-0006-0000-0300-00001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40" authorId="0" shapeId="0" xr:uid="{00000000-0006-0000-0300-00001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41" authorId="0" shapeId="0" xr:uid="{00000000-0006-0000-0300-00001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42" authorId="0" shapeId="0" xr:uid="{00000000-0006-0000-0300-00002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43" authorId="0" shapeId="0" xr:uid="{00000000-0006-0000-0300-00002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44" authorId="0" shapeId="0" xr:uid="{00000000-0006-0000-0300-00002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45" authorId="0" shapeId="0" xr:uid="{00000000-0006-0000-0300-00002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46" authorId="0" shapeId="0" xr:uid="{00000000-0006-0000-0300-00002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47" authorId="0" shapeId="0" xr:uid="{00000000-0006-0000-0300-00002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48" authorId="0" shapeId="0" xr:uid="{00000000-0006-0000-0300-00002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49" authorId="0" shapeId="0" xr:uid="{00000000-0006-0000-0300-00002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50" authorId="0" shapeId="0" xr:uid="{00000000-0006-0000-0300-00002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51" authorId="0" shapeId="0" xr:uid="{00000000-0006-0000-0300-00002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52" authorId="0" shapeId="0" xr:uid="{00000000-0006-0000-0300-00002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53" authorId="0" shapeId="0" xr:uid="{00000000-0006-0000-0300-00002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54" authorId="0" shapeId="0" xr:uid="{00000000-0006-0000-0300-00002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55" authorId="0" shapeId="0" xr:uid="{00000000-0006-0000-0300-00002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56" authorId="0" shapeId="0" xr:uid="{00000000-0006-0000-0300-00002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57" authorId="0" shapeId="0" xr:uid="{00000000-0006-0000-0300-00002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58" authorId="0" shapeId="0" xr:uid="{00000000-0006-0000-0300-00003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59" authorId="0" shapeId="0" xr:uid="{00000000-0006-0000-0300-00003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60" authorId="0" shapeId="0" xr:uid="{00000000-0006-0000-0300-00003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61" authorId="0" shapeId="0" xr:uid="{00000000-0006-0000-0300-00003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62" authorId="0" shapeId="0" xr:uid="{00000000-0006-0000-0300-00003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63" authorId="0" shapeId="0" xr:uid="{00000000-0006-0000-0300-00003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64" authorId="0" shapeId="0" xr:uid="{00000000-0006-0000-0300-00003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65" authorId="0" shapeId="0" xr:uid="{00000000-0006-0000-0300-00003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66" authorId="0" shapeId="0" xr:uid="{00000000-0006-0000-0300-00003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67" authorId="0" shapeId="0" xr:uid="{00000000-0006-0000-0300-00003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68" authorId="0" shapeId="0" xr:uid="{00000000-0006-0000-0300-00003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69" authorId="0" shapeId="0" xr:uid="{00000000-0006-0000-0300-00003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70" authorId="0" shapeId="0" xr:uid="{00000000-0006-0000-0300-00003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71" authorId="0" shapeId="0" xr:uid="{00000000-0006-0000-0300-00003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72" authorId="0" shapeId="0" xr:uid="{00000000-0006-0000-0300-00003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73" authorId="0" shapeId="0" xr:uid="{00000000-0006-0000-0300-00003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74" authorId="0" shapeId="0" xr:uid="{00000000-0006-0000-0300-00004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75" authorId="0" shapeId="0" xr:uid="{00000000-0006-0000-0300-00004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76" authorId="0" shapeId="0" xr:uid="{00000000-0006-0000-0300-00004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77" authorId="0" shapeId="0" xr:uid="{00000000-0006-0000-0300-00004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78" authorId="0" shapeId="0" xr:uid="{00000000-0006-0000-0300-00004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79" authorId="0" shapeId="0" xr:uid="{00000000-0006-0000-0300-00004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80" authorId="0" shapeId="0" xr:uid="{00000000-0006-0000-0300-00004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81" authorId="0" shapeId="0" xr:uid="{00000000-0006-0000-0300-00004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82" authorId="0" shapeId="0" xr:uid="{00000000-0006-0000-0300-00004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83" authorId="0" shapeId="0" xr:uid="{00000000-0006-0000-0300-00004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84" authorId="0" shapeId="0" xr:uid="{00000000-0006-0000-0300-00004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85" authorId="0" shapeId="0" xr:uid="{00000000-0006-0000-0300-00004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86" authorId="0" shapeId="0" xr:uid="{00000000-0006-0000-0300-00004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87" authorId="0" shapeId="0" xr:uid="{00000000-0006-0000-0300-00004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88" authorId="0" shapeId="0" xr:uid="{00000000-0006-0000-0300-00004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89" authorId="0" shapeId="0" xr:uid="{00000000-0006-0000-0300-00004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90" authorId="0" shapeId="0" xr:uid="{00000000-0006-0000-0300-00005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91" authorId="0" shapeId="0" xr:uid="{00000000-0006-0000-0300-00005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92" authorId="0" shapeId="0" xr:uid="{00000000-0006-0000-0300-00005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93" authorId="0" shapeId="0" xr:uid="{00000000-0006-0000-0300-00005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94" authorId="0" shapeId="0" xr:uid="{00000000-0006-0000-0300-00005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95" authorId="0" shapeId="0" xr:uid="{00000000-0006-0000-0300-00005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96" authorId="0" shapeId="0" xr:uid="{00000000-0006-0000-0300-00005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97" authorId="0" shapeId="0" xr:uid="{00000000-0006-0000-0300-00005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98" authorId="0" shapeId="0" xr:uid="{00000000-0006-0000-0300-00005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99" authorId="0" shapeId="0" xr:uid="{00000000-0006-0000-0300-00005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00" authorId="0" shapeId="0" xr:uid="{00000000-0006-0000-0300-00005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01" authorId="0" shapeId="0" xr:uid="{00000000-0006-0000-0300-00005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02" authorId="0" shapeId="0" xr:uid="{00000000-0006-0000-0300-00005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03" authorId="0" shapeId="0" xr:uid="{00000000-0006-0000-0300-00005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04" authorId="0" shapeId="0" xr:uid="{00000000-0006-0000-0300-00005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05" authorId="0" shapeId="0" xr:uid="{00000000-0006-0000-0300-00005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06" authorId="0" shapeId="0" xr:uid="{00000000-0006-0000-0300-00006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07" authorId="0" shapeId="0" xr:uid="{00000000-0006-0000-0300-00006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08" authorId="0" shapeId="0" xr:uid="{00000000-0006-0000-0300-00006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09" authorId="0" shapeId="0" xr:uid="{00000000-0006-0000-0300-00006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10" authorId="0" shapeId="0" xr:uid="{00000000-0006-0000-0300-00006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11" authorId="0" shapeId="0" xr:uid="{00000000-0006-0000-0300-00006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12" authorId="0" shapeId="0" xr:uid="{00000000-0006-0000-0300-00006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13" authorId="0" shapeId="0" xr:uid="{00000000-0006-0000-0300-00006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14" authorId="0" shapeId="0" xr:uid="{00000000-0006-0000-0300-00006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15" authorId="0" shapeId="0" xr:uid="{00000000-0006-0000-0300-00006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16" authorId="0" shapeId="0" xr:uid="{00000000-0006-0000-0300-00006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17" authorId="0" shapeId="0" xr:uid="{00000000-0006-0000-0300-00006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18" authorId="0" shapeId="0" xr:uid="{00000000-0006-0000-0300-00006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19" authorId="0" shapeId="0" xr:uid="{00000000-0006-0000-0300-00006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20" authorId="0" shapeId="0" xr:uid="{00000000-0006-0000-0300-00006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21" authorId="0" shapeId="0" xr:uid="{00000000-0006-0000-0300-00006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22" authorId="0" shapeId="0" xr:uid="{00000000-0006-0000-0300-00007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23" authorId="0" shapeId="0" xr:uid="{00000000-0006-0000-0300-00007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24" authorId="0" shapeId="0" xr:uid="{00000000-0006-0000-0300-00007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25" authorId="0" shapeId="0" xr:uid="{00000000-0006-0000-0300-00007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26" authorId="0" shapeId="0" xr:uid="{00000000-0006-0000-0300-00007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27" authorId="0" shapeId="0" xr:uid="{00000000-0006-0000-0300-00007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28" authorId="0" shapeId="0" xr:uid="{00000000-0006-0000-0300-00007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29" authorId="0" shapeId="0" xr:uid="{00000000-0006-0000-0300-00007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30" authorId="0" shapeId="0" xr:uid="{00000000-0006-0000-0300-00007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31" authorId="0" shapeId="0" xr:uid="{00000000-0006-0000-0300-00007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32" authorId="0" shapeId="0" xr:uid="{00000000-0006-0000-0300-00007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33" authorId="0" shapeId="0" xr:uid="{00000000-0006-0000-0300-00007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34" authorId="0" shapeId="0" xr:uid="{00000000-0006-0000-0300-00007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35" authorId="0" shapeId="0" xr:uid="{00000000-0006-0000-0300-00007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36" authorId="0" shapeId="0" xr:uid="{00000000-0006-0000-0300-00007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37" authorId="0" shapeId="0" xr:uid="{00000000-0006-0000-0300-00007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38" authorId="0" shapeId="0" xr:uid="{00000000-0006-0000-0300-00008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39" authorId="0" shapeId="0" xr:uid="{00000000-0006-0000-0300-00008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40" authorId="0" shapeId="0" xr:uid="{00000000-0006-0000-0300-00008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41" authorId="0" shapeId="0" xr:uid="{00000000-0006-0000-0300-00008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42" authorId="0" shapeId="0" xr:uid="{00000000-0006-0000-0300-00008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43" authorId="0" shapeId="0" xr:uid="{00000000-0006-0000-0300-00008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44" authorId="0" shapeId="0" xr:uid="{00000000-0006-0000-0300-00008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45" authorId="0" shapeId="0" xr:uid="{00000000-0006-0000-0300-00008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46" authorId="0" shapeId="0" xr:uid="{00000000-0006-0000-0300-00008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47" authorId="0" shapeId="0" xr:uid="{00000000-0006-0000-0300-00008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48" authorId="0" shapeId="0" xr:uid="{00000000-0006-0000-0300-00008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49" authorId="0" shapeId="0" xr:uid="{00000000-0006-0000-0300-00008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50" authorId="0" shapeId="0" xr:uid="{00000000-0006-0000-0300-00008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51" authorId="0" shapeId="0" xr:uid="{00000000-0006-0000-0300-00008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52" authorId="0" shapeId="0" xr:uid="{00000000-0006-0000-0300-00008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53" authorId="0" shapeId="0" xr:uid="{00000000-0006-0000-0300-00008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54" authorId="0" shapeId="0" xr:uid="{00000000-0006-0000-0300-00009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55" authorId="0" shapeId="0" xr:uid="{00000000-0006-0000-0300-00009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56" authorId="0" shapeId="0" xr:uid="{00000000-0006-0000-0300-00009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57" authorId="0" shapeId="0" xr:uid="{00000000-0006-0000-0300-00009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58" authorId="0" shapeId="0" xr:uid="{00000000-0006-0000-0300-00009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59" authorId="0" shapeId="0" xr:uid="{00000000-0006-0000-0300-00009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60" authorId="0" shapeId="0" xr:uid="{00000000-0006-0000-0300-00009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61" authorId="0" shapeId="0" xr:uid="{00000000-0006-0000-0300-00009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62" authorId="0" shapeId="0" xr:uid="{00000000-0006-0000-0300-00009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63" authorId="0" shapeId="0" xr:uid="{00000000-0006-0000-0300-00009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64" authorId="0" shapeId="0" xr:uid="{00000000-0006-0000-0300-00009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65" authorId="0" shapeId="0" xr:uid="{00000000-0006-0000-0300-00009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66" authorId="0" shapeId="0" xr:uid="{00000000-0006-0000-0300-00009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67" authorId="0" shapeId="0" xr:uid="{00000000-0006-0000-0300-00009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68" authorId="0" shapeId="0" xr:uid="{00000000-0006-0000-0300-00009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69" authorId="0" shapeId="0" xr:uid="{00000000-0006-0000-0300-00009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70" authorId="0" shapeId="0" xr:uid="{00000000-0006-0000-0300-0000A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71" authorId="0" shapeId="0" xr:uid="{00000000-0006-0000-0300-0000A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72" authorId="0" shapeId="0" xr:uid="{00000000-0006-0000-0300-0000A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73" authorId="0" shapeId="0" xr:uid="{00000000-0006-0000-0300-0000A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74" authorId="0" shapeId="0" xr:uid="{00000000-0006-0000-0300-0000A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75" authorId="0" shapeId="0" xr:uid="{00000000-0006-0000-0300-0000A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76" authorId="0" shapeId="0" xr:uid="{00000000-0006-0000-0300-0000A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77" authorId="0" shapeId="0" xr:uid="{00000000-0006-0000-0300-0000A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78" authorId="0" shapeId="0" xr:uid="{00000000-0006-0000-0300-0000A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79" authorId="0" shapeId="0" xr:uid="{00000000-0006-0000-0300-0000A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A2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РАЗДЕЛ ЗАПОЛНЯЕТСЯ ДЛЯ МЕРОПРИЯТИЙ, НАПРАВЛЕННЫХ НА СОЗДАНИЕ И РАЗВИТИЕ ИС СПЕЦИАЛЬНОЙ И ТИПОВОЙ ДЕЯТЕЛЬНОСТИ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A2" authorId="0" shapeId="0" xr:uid="{00000000-0006-0000-0600-00000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РАЗДЕЛ ЗАПОЛНЯЕТСЯ ТОЛЬКО ДЛЯ ПРИОРИТЕТНЫХ МЕРОПРИЯТИЙ ПО ИНФОРМАТИЗАЦИИ</t>
        </r>
      </text>
    </comment>
    <comment ref="B9" authorId="0" shapeId="0" xr:uid="{00000000-0006-0000-0600-00000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10" authorId="0" shapeId="0" xr:uid="{00000000-0006-0000-0600-00000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11" authorId="0" shapeId="0" xr:uid="{00000000-0006-0000-0600-00000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12" authorId="0" shapeId="0" xr:uid="{00000000-0006-0000-0600-00000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13" authorId="0" shapeId="0" xr:uid="{00000000-0006-0000-0600-00000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14" authorId="0" shapeId="0" xr:uid="{00000000-0006-0000-0600-00000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15" authorId="0" shapeId="0" xr:uid="{00000000-0006-0000-0600-00000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16" authorId="0" shapeId="0" xr:uid="{00000000-0006-0000-0600-00000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17" authorId="0" shapeId="0" xr:uid="{00000000-0006-0000-0600-00000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18" authorId="0" shapeId="0" xr:uid="{00000000-0006-0000-0600-00000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19" authorId="0" shapeId="0" xr:uid="{00000000-0006-0000-0600-00000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20" authorId="0" shapeId="0" xr:uid="{00000000-0006-0000-0600-00000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21" authorId="0" shapeId="0" xr:uid="{00000000-0006-0000-0600-00000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22" authorId="0" shapeId="0" xr:uid="{00000000-0006-0000-0600-00000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23" authorId="0" shapeId="0" xr:uid="{00000000-0006-0000-0600-00001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24" authorId="0" shapeId="0" xr:uid="{00000000-0006-0000-0600-00001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25" authorId="0" shapeId="0" xr:uid="{00000000-0006-0000-0600-00001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26" authorId="0" shapeId="0" xr:uid="{00000000-0006-0000-0600-00001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27" authorId="0" shapeId="0" xr:uid="{00000000-0006-0000-0600-00001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28" authorId="0" shapeId="0" xr:uid="{00000000-0006-0000-0600-00001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29" authorId="0" shapeId="0" xr:uid="{00000000-0006-0000-0600-00001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30" authorId="0" shapeId="0" xr:uid="{00000000-0006-0000-0600-00001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31" authorId="0" shapeId="0" xr:uid="{00000000-0006-0000-0600-00001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32" authorId="0" shapeId="0" xr:uid="{00000000-0006-0000-0600-00001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33" authorId="0" shapeId="0" xr:uid="{00000000-0006-0000-0600-00001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34" authorId="0" shapeId="0" xr:uid="{00000000-0006-0000-0600-00001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35" authorId="0" shapeId="0" xr:uid="{00000000-0006-0000-0600-00001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36" authorId="0" shapeId="0" xr:uid="{00000000-0006-0000-0600-00001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37" authorId="0" shapeId="0" xr:uid="{00000000-0006-0000-0600-00001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38" authorId="0" shapeId="0" xr:uid="{00000000-0006-0000-0600-00001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39" authorId="0" shapeId="0" xr:uid="{00000000-0006-0000-0600-00002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40" authorId="0" shapeId="0" xr:uid="{00000000-0006-0000-0600-00002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41" authorId="0" shapeId="0" xr:uid="{00000000-0006-0000-0600-00002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42" authorId="0" shapeId="0" xr:uid="{00000000-0006-0000-0600-00002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43" authorId="0" shapeId="0" xr:uid="{00000000-0006-0000-0600-00002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44" authorId="0" shapeId="0" xr:uid="{00000000-0006-0000-0600-00002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45" authorId="0" shapeId="0" xr:uid="{00000000-0006-0000-0600-00002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46" authorId="0" shapeId="0" xr:uid="{00000000-0006-0000-0600-00002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47" authorId="0" shapeId="0" xr:uid="{00000000-0006-0000-0600-00002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48" authorId="0" shapeId="0" xr:uid="{00000000-0006-0000-0600-00002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49" authorId="0" shapeId="0" xr:uid="{00000000-0006-0000-0600-00002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50" authorId="0" shapeId="0" xr:uid="{00000000-0006-0000-0600-00002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51" authorId="0" shapeId="0" xr:uid="{00000000-0006-0000-0600-00002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52" authorId="0" shapeId="0" xr:uid="{00000000-0006-0000-0600-00002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53" authorId="0" shapeId="0" xr:uid="{00000000-0006-0000-0600-00002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54" authorId="0" shapeId="0" xr:uid="{00000000-0006-0000-0600-00002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55" authorId="0" shapeId="0" xr:uid="{00000000-0006-0000-0600-00003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56" authorId="0" shapeId="0" xr:uid="{00000000-0006-0000-0600-00003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57" authorId="0" shapeId="0" xr:uid="{00000000-0006-0000-0600-00003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58" authorId="0" shapeId="0" xr:uid="{00000000-0006-0000-0600-00003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59" authorId="0" shapeId="0" xr:uid="{00000000-0006-0000-0600-00003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60" authorId="0" shapeId="0" xr:uid="{00000000-0006-0000-0600-00003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61" authorId="0" shapeId="0" xr:uid="{00000000-0006-0000-0600-00003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62" authorId="0" shapeId="0" xr:uid="{00000000-0006-0000-0600-00003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63" authorId="0" shapeId="0" xr:uid="{00000000-0006-0000-0600-00003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64" authorId="0" shapeId="0" xr:uid="{00000000-0006-0000-0600-00003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65" authorId="0" shapeId="0" xr:uid="{00000000-0006-0000-0600-00003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66" authorId="0" shapeId="0" xr:uid="{00000000-0006-0000-0600-00003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67" authorId="0" shapeId="0" xr:uid="{00000000-0006-0000-0600-00003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68" authorId="0" shapeId="0" xr:uid="{00000000-0006-0000-0600-00003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69" authorId="0" shapeId="0" xr:uid="{00000000-0006-0000-0600-00003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70" authorId="0" shapeId="0" xr:uid="{00000000-0006-0000-0600-00003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71" authorId="0" shapeId="0" xr:uid="{00000000-0006-0000-0600-00004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72" authorId="0" shapeId="0" xr:uid="{00000000-0006-0000-0600-00004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73" authorId="0" shapeId="0" xr:uid="{00000000-0006-0000-0600-00004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74" authorId="0" shapeId="0" xr:uid="{00000000-0006-0000-0600-00004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75" authorId="0" shapeId="0" xr:uid="{00000000-0006-0000-0600-00004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76" authorId="0" shapeId="0" xr:uid="{00000000-0006-0000-0600-00004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77" authorId="0" shapeId="0" xr:uid="{00000000-0006-0000-0600-00004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78" authorId="0" shapeId="0" xr:uid="{00000000-0006-0000-0600-00004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79" authorId="0" shapeId="0" xr:uid="{00000000-0006-0000-0600-00004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80" authorId="0" shapeId="0" xr:uid="{00000000-0006-0000-0600-00004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81" authorId="0" shapeId="0" xr:uid="{00000000-0006-0000-0600-00004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82" authorId="0" shapeId="0" xr:uid="{00000000-0006-0000-0600-00004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83" authorId="0" shapeId="0" xr:uid="{00000000-0006-0000-0600-00004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84" authorId="0" shapeId="0" xr:uid="{00000000-0006-0000-0600-00004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85" authorId="0" shapeId="0" xr:uid="{00000000-0006-0000-0600-00004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86" authorId="0" shapeId="0" xr:uid="{00000000-0006-0000-0600-00004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87" authorId="0" shapeId="0" xr:uid="{00000000-0006-0000-0600-00005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88" authorId="0" shapeId="0" xr:uid="{00000000-0006-0000-0600-00005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89" authorId="0" shapeId="0" xr:uid="{00000000-0006-0000-0600-00005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90" authorId="0" shapeId="0" xr:uid="{00000000-0006-0000-0600-00005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91" authorId="0" shapeId="0" xr:uid="{00000000-0006-0000-0600-00005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92" authorId="0" shapeId="0" xr:uid="{00000000-0006-0000-0600-00005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93" authorId="0" shapeId="0" xr:uid="{00000000-0006-0000-0600-00005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94" authorId="0" shapeId="0" xr:uid="{00000000-0006-0000-0600-00005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95" authorId="0" shapeId="0" xr:uid="{00000000-0006-0000-0600-00005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96" authorId="0" shapeId="0" xr:uid="{00000000-0006-0000-0600-00005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97" authorId="0" shapeId="0" xr:uid="{00000000-0006-0000-0600-00005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98" authorId="0" shapeId="0" xr:uid="{00000000-0006-0000-0600-00005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99" authorId="0" shapeId="0" xr:uid="{00000000-0006-0000-0600-00005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100" authorId="0" shapeId="0" xr:uid="{00000000-0006-0000-0600-00005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101" authorId="0" shapeId="0" xr:uid="{00000000-0006-0000-0600-00005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102" authorId="0" shapeId="0" xr:uid="{00000000-0006-0000-0600-00005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103" authorId="0" shapeId="0" xr:uid="{00000000-0006-0000-0600-00006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B6" authorId="0" shapeId="0" xr:uid="{00000000-0006-0000-0800-00000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6" authorId="0" shapeId="0" xr:uid="{00000000-0006-0000-0800-00000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7" authorId="0" shapeId="0" xr:uid="{00000000-0006-0000-0800-00000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7" authorId="0" shapeId="0" xr:uid="{00000000-0006-0000-0800-00000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8" authorId="0" shapeId="0" xr:uid="{00000000-0006-0000-0800-00000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8" authorId="0" shapeId="0" xr:uid="{00000000-0006-0000-0800-00000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9" authorId="0" shapeId="0" xr:uid="{00000000-0006-0000-0800-00000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9" authorId="0" shapeId="0" xr:uid="{00000000-0006-0000-0800-00000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10" authorId="0" shapeId="0" xr:uid="{00000000-0006-0000-0800-00000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10" authorId="0" shapeId="0" xr:uid="{00000000-0006-0000-0800-00000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11" authorId="0" shapeId="0" xr:uid="{00000000-0006-0000-0800-00000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11" authorId="0" shapeId="0" xr:uid="{00000000-0006-0000-0800-00000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12" authorId="0" shapeId="0" xr:uid="{00000000-0006-0000-0800-00000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12" authorId="0" shapeId="0" xr:uid="{00000000-0006-0000-0800-00000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13" authorId="0" shapeId="0" xr:uid="{00000000-0006-0000-0800-00000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13" authorId="0" shapeId="0" xr:uid="{00000000-0006-0000-0800-00001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14" authorId="0" shapeId="0" xr:uid="{00000000-0006-0000-0800-00001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14" authorId="0" shapeId="0" xr:uid="{00000000-0006-0000-0800-00001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15" authorId="0" shapeId="0" xr:uid="{00000000-0006-0000-0800-00001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15" authorId="0" shapeId="0" xr:uid="{00000000-0006-0000-0800-00001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16" authorId="0" shapeId="0" xr:uid="{00000000-0006-0000-0800-00001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16" authorId="0" shapeId="0" xr:uid="{00000000-0006-0000-0800-00001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17" authorId="0" shapeId="0" xr:uid="{00000000-0006-0000-0800-00001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17" authorId="0" shapeId="0" xr:uid="{00000000-0006-0000-0800-00001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18" authorId="0" shapeId="0" xr:uid="{00000000-0006-0000-0800-00001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18" authorId="0" shapeId="0" xr:uid="{00000000-0006-0000-0800-00001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19" authorId="0" shapeId="0" xr:uid="{00000000-0006-0000-0800-00001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19" authorId="0" shapeId="0" xr:uid="{00000000-0006-0000-0800-00001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20" authorId="0" shapeId="0" xr:uid="{00000000-0006-0000-0800-00001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20" authorId="0" shapeId="0" xr:uid="{00000000-0006-0000-0800-00001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21" authorId="0" shapeId="0" xr:uid="{00000000-0006-0000-0800-00001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21" authorId="0" shapeId="0" xr:uid="{00000000-0006-0000-0800-00002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22" authorId="0" shapeId="0" xr:uid="{00000000-0006-0000-0800-00002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22" authorId="0" shapeId="0" xr:uid="{00000000-0006-0000-0800-00002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23" authorId="0" shapeId="0" xr:uid="{00000000-0006-0000-0800-00002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23" authorId="0" shapeId="0" xr:uid="{00000000-0006-0000-0800-00002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24" authorId="0" shapeId="0" xr:uid="{00000000-0006-0000-0800-00002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24" authorId="0" shapeId="0" xr:uid="{00000000-0006-0000-0800-00002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25" authorId="0" shapeId="0" xr:uid="{00000000-0006-0000-0800-00002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25" authorId="0" shapeId="0" xr:uid="{00000000-0006-0000-0800-00002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26" authorId="0" shapeId="0" xr:uid="{00000000-0006-0000-0800-00002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26" authorId="0" shapeId="0" xr:uid="{00000000-0006-0000-0800-00002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27" authorId="0" shapeId="0" xr:uid="{00000000-0006-0000-0800-00002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27" authorId="0" shapeId="0" xr:uid="{00000000-0006-0000-0800-00002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28" authorId="0" shapeId="0" xr:uid="{00000000-0006-0000-0800-00002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28" authorId="0" shapeId="0" xr:uid="{00000000-0006-0000-0800-00002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29" authorId="0" shapeId="0" xr:uid="{00000000-0006-0000-0800-00002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29" authorId="0" shapeId="0" xr:uid="{00000000-0006-0000-0800-00003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30" authorId="0" shapeId="0" xr:uid="{00000000-0006-0000-0800-00003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30" authorId="0" shapeId="0" xr:uid="{00000000-0006-0000-0800-00003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31" authorId="0" shapeId="0" xr:uid="{00000000-0006-0000-0800-00003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31" authorId="0" shapeId="0" xr:uid="{00000000-0006-0000-0800-00003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32" authorId="0" shapeId="0" xr:uid="{00000000-0006-0000-0800-00003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32" authorId="0" shapeId="0" xr:uid="{00000000-0006-0000-0800-00003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33" authorId="0" shapeId="0" xr:uid="{00000000-0006-0000-0800-00003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33" authorId="0" shapeId="0" xr:uid="{00000000-0006-0000-0800-00003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34" authorId="0" shapeId="0" xr:uid="{00000000-0006-0000-0800-00003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34" authorId="0" shapeId="0" xr:uid="{00000000-0006-0000-0800-00003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35" authorId="0" shapeId="0" xr:uid="{00000000-0006-0000-0800-00003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35" authorId="0" shapeId="0" xr:uid="{00000000-0006-0000-0800-00003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36" authorId="0" shapeId="0" xr:uid="{00000000-0006-0000-0800-00003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36" authorId="0" shapeId="0" xr:uid="{00000000-0006-0000-0800-00003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37" authorId="0" shapeId="0" xr:uid="{00000000-0006-0000-0800-00003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37" authorId="0" shapeId="0" xr:uid="{00000000-0006-0000-0800-00004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38" authorId="0" shapeId="0" xr:uid="{00000000-0006-0000-0800-00004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38" authorId="0" shapeId="0" xr:uid="{00000000-0006-0000-0800-00004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39" authorId="0" shapeId="0" xr:uid="{00000000-0006-0000-0800-00004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39" authorId="0" shapeId="0" xr:uid="{00000000-0006-0000-0800-00004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40" authorId="0" shapeId="0" xr:uid="{00000000-0006-0000-0800-00004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40" authorId="0" shapeId="0" xr:uid="{00000000-0006-0000-0800-00004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41" authorId="0" shapeId="0" xr:uid="{00000000-0006-0000-0800-00004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41" authorId="0" shapeId="0" xr:uid="{00000000-0006-0000-0800-00004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42" authorId="0" shapeId="0" xr:uid="{00000000-0006-0000-0800-00004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42" authorId="0" shapeId="0" xr:uid="{00000000-0006-0000-0800-00004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43" authorId="0" shapeId="0" xr:uid="{00000000-0006-0000-0800-00004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43" authorId="0" shapeId="0" xr:uid="{00000000-0006-0000-0800-00004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44" authorId="0" shapeId="0" xr:uid="{00000000-0006-0000-0800-00004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44" authorId="0" shapeId="0" xr:uid="{00000000-0006-0000-0800-00004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45" authorId="0" shapeId="0" xr:uid="{00000000-0006-0000-0800-00004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45" authorId="0" shapeId="0" xr:uid="{00000000-0006-0000-0800-00005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46" authorId="0" shapeId="0" xr:uid="{00000000-0006-0000-0800-00005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46" authorId="0" shapeId="0" xr:uid="{00000000-0006-0000-0800-00005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47" authorId="0" shapeId="0" xr:uid="{00000000-0006-0000-0800-00005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47" authorId="0" shapeId="0" xr:uid="{00000000-0006-0000-0800-00005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48" authorId="0" shapeId="0" xr:uid="{00000000-0006-0000-0800-00005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48" authorId="0" shapeId="0" xr:uid="{00000000-0006-0000-0800-00005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49" authorId="0" shapeId="0" xr:uid="{00000000-0006-0000-0800-00005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49" authorId="0" shapeId="0" xr:uid="{00000000-0006-0000-0800-00005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50" authorId="0" shapeId="0" xr:uid="{00000000-0006-0000-0800-00005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50" authorId="0" shapeId="0" xr:uid="{00000000-0006-0000-0800-00005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51" authorId="0" shapeId="0" xr:uid="{00000000-0006-0000-0800-00005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51" authorId="0" shapeId="0" xr:uid="{00000000-0006-0000-0800-00005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52" authorId="0" shapeId="0" xr:uid="{00000000-0006-0000-0800-00005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52" authorId="0" shapeId="0" xr:uid="{00000000-0006-0000-0800-00005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53" authorId="0" shapeId="0" xr:uid="{00000000-0006-0000-0800-00005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53" authorId="0" shapeId="0" xr:uid="{00000000-0006-0000-0800-00006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54" authorId="0" shapeId="0" xr:uid="{00000000-0006-0000-0800-00006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54" authorId="0" shapeId="0" xr:uid="{00000000-0006-0000-0800-00006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55" authorId="0" shapeId="0" xr:uid="{00000000-0006-0000-0800-00006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55" authorId="0" shapeId="0" xr:uid="{00000000-0006-0000-0800-00006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56" authorId="0" shapeId="0" xr:uid="{00000000-0006-0000-0800-00006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56" authorId="0" shapeId="0" xr:uid="{00000000-0006-0000-0800-00006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57" authorId="0" shapeId="0" xr:uid="{00000000-0006-0000-0800-00006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57" authorId="0" shapeId="0" xr:uid="{00000000-0006-0000-0800-00006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58" authorId="0" shapeId="0" xr:uid="{00000000-0006-0000-0800-00006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58" authorId="0" shapeId="0" xr:uid="{00000000-0006-0000-0800-00006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59" authorId="0" shapeId="0" xr:uid="{00000000-0006-0000-0800-00006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59" authorId="0" shapeId="0" xr:uid="{00000000-0006-0000-0800-00006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60" authorId="0" shapeId="0" xr:uid="{00000000-0006-0000-0800-00006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60" authorId="0" shapeId="0" xr:uid="{00000000-0006-0000-0800-00006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61" authorId="0" shapeId="0" xr:uid="{00000000-0006-0000-0800-00006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61" authorId="0" shapeId="0" xr:uid="{00000000-0006-0000-0800-00007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62" authorId="0" shapeId="0" xr:uid="{00000000-0006-0000-0800-00007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62" authorId="0" shapeId="0" xr:uid="{00000000-0006-0000-0800-00007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63" authorId="0" shapeId="0" xr:uid="{00000000-0006-0000-0800-00007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63" authorId="0" shapeId="0" xr:uid="{00000000-0006-0000-0800-00007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64" authorId="0" shapeId="0" xr:uid="{00000000-0006-0000-0800-00007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64" authorId="0" shapeId="0" xr:uid="{00000000-0006-0000-0800-00007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65" authorId="0" shapeId="0" xr:uid="{00000000-0006-0000-0800-00007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65" authorId="0" shapeId="0" xr:uid="{00000000-0006-0000-0800-00007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66" authorId="0" shapeId="0" xr:uid="{00000000-0006-0000-0800-00007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66" authorId="0" shapeId="0" xr:uid="{00000000-0006-0000-0800-00007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67" authorId="0" shapeId="0" xr:uid="{00000000-0006-0000-0800-00007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67" authorId="0" shapeId="0" xr:uid="{00000000-0006-0000-0800-00007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68" authorId="0" shapeId="0" xr:uid="{00000000-0006-0000-0800-00007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68" authorId="0" shapeId="0" xr:uid="{00000000-0006-0000-0800-00007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69" authorId="0" shapeId="0" xr:uid="{00000000-0006-0000-0800-00007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69" authorId="0" shapeId="0" xr:uid="{00000000-0006-0000-0800-00008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70" authorId="0" shapeId="0" xr:uid="{00000000-0006-0000-0800-00008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70" authorId="0" shapeId="0" xr:uid="{00000000-0006-0000-0800-00008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71" authorId="0" shapeId="0" xr:uid="{00000000-0006-0000-0800-00008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71" authorId="0" shapeId="0" xr:uid="{00000000-0006-0000-0800-00008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72" authorId="0" shapeId="0" xr:uid="{00000000-0006-0000-0800-00008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72" authorId="0" shapeId="0" xr:uid="{00000000-0006-0000-0800-00008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73" authorId="0" shapeId="0" xr:uid="{00000000-0006-0000-0800-00008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73" authorId="0" shapeId="0" xr:uid="{00000000-0006-0000-0800-00008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74" authorId="0" shapeId="0" xr:uid="{00000000-0006-0000-0800-00008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74" authorId="0" shapeId="0" xr:uid="{00000000-0006-0000-0800-00008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75" authorId="0" shapeId="0" xr:uid="{00000000-0006-0000-0800-00008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75" authorId="0" shapeId="0" xr:uid="{00000000-0006-0000-0800-00008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76" authorId="0" shapeId="0" xr:uid="{00000000-0006-0000-0800-00008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76" authorId="0" shapeId="0" xr:uid="{00000000-0006-0000-0800-00008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77" authorId="0" shapeId="0" xr:uid="{00000000-0006-0000-0800-00008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77" authorId="0" shapeId="0" xr:uid="{00000000-0006-0000-0800-00009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78" authorId="0" shapeId="0" xr:uid="{00000000-0006-0000-0800-00009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78" authorId="0" shapeId="0" xr:uid="{00000000-0006-0000-0800-00009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79" authorId="0" shapeId="0" xr:uid="{00000000-0006-0000-0800-00009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79" authorId="0" shapeId="0" xr:uid="{00000000-0006-0000-0800-00009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80" authorId="0" shapeId="0" xr:uid="{00000000-0006-0000-0800-00009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80" authorId="0" shapeId="0" xr:uid="{00000000-0006-0000-0800-00009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81" authorId="0" shapeId="0" xr:uid="{00000000-0006-0000-0800-00009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81" authorId="0" shapeId="0" xr:uid="{00000000-0006-0000-0800-00009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82" authorId="0" shapeId="0" xr:uid="{00000000-0006-0000-0800-00009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82" authorId="0" shapeId="0" xr:uid="{00000000-0006-0000-0800-00009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C6" authorId="0" shapeId="0" xr:uid="{00000000-0006-0000-0900-000001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6" authorId="0" shapeId="0" xr:uid="{00000000-0006-0000-0900-00000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6" authorId="0" shapeId="0" xr:uid="{00000000-0006-0000-0900-00000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7" authorId="0" shapeId="0" xr:uid="{00000000-0006-0000-0900-000004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7" authorId="0" shapeId="0" xr:uid="{00000000-0006-0000-0900-00000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7" authorId="0" shapeId="0" xr:uid="{00000000-0006-0000-0900-00000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8" authorId="0" shapeId="0" xr:uid="{00000000-0006-0000-0900-000007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8" authorId="0" shapeId="0" xr:uid="{00000000-0006-0000-0900-00000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8" authorId="0" shapeId="0" xr:uid="{00000000-0006-0000-0900-00000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9" authorId="0" shapeId="0" xr:uid="{00000000-0006-0000-0900-00000A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9" authorId="0" shapeId="0" xr:uid="{00000000-0006-0000-0900-00000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9" authorId="0" shapeId="0" xr:uid="{00000000-0006-0000-0900-00000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10" authorId="0" shapeId="0" xr:uid="{00000000-0006-0000-0900-00000D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10" authorId="0" shapeId="0" xr:uid="{00000000-0006-0000-0900-00000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10" authorId="0" shapeId="0" xr:uid="{00000000-0006-0000-0900-00000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11" authorId="0" shapeId="0" xr:uid="{00000000-0006-0000-0900-000010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11" authorId="0" shapeId="0" xr:uid="{00000000-0006-0000-0900-00001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11" authorId="0" shapeId="0" xr:uid="{00000000-0006-0000-0900-00001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12" authorId="0" shapeId="0" xr:uid="{00000000-0006-0000-0900-000013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12" authorId="0" shapeId="0" xr:uid="{00000000-0006-0000-0900-00001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12" authorId="0" shapeId="0" xr:uid="{00000000-0006-0000-0900-00001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13" authorId="0" shapeId="0" xr:uid="{00000000-0006-0000-0900-000016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13" authorId="0" shapeId="0" xr:uid="{00000000-0006-0000-0900-00001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13" authorId="0" shapeId="0" xr:uid="{00000000-0006-0000-0900-00001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14" authorId="0" shapeId="0" xr:uid="{00000000-0006-0000-0900-000019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14" authorId="0" shapeId="0" xr:uid="{00000000-0006-0000-0900-00001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14" authorId="0" shapeId="0" xr:uid="{00000000-0006-0000-0900-00001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15" authorId="0" shapeId="0" xr:uid="{00000000-0006-0000-0900-00001C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15" authorId="0" shapeId="0" xr:uid="{00000000-0006-0000-0900-00001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15" authorId="0" shapeId="0" xr:uid="{00000000-0006-0000-0900-00001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16" authorId="0" shapeId="0" xr:uid="{00000000-0006-0000-0900-00001F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16" authorId="0" shapeId="0" xr:uid="{00000000-0006-0000-0900-00002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16" authorId="0" shapeId="0" xr:uid="{00000000-0006-0000-0900-00002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17" authorId="0" shapeId="0" xr:uid="{00000000-0006-0000-0900-000022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17" authorId="0" shapeId="0" xr:uid="{00000000-0006-0000-0900-00002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17" authorId="0" shapeId="0" xr:uid="{00000000-0006-0000-0900-00002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18" authorId="0" shapeId="0" xr:uid="{00000000-0006-0000-0900-000025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18" authorId="0" shapeId="0" xr:uid="{00000000-0006-0000-0900-00002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18" authorId="0" shapeId="0" xr:uid="{00000000-0006-0000-0900-00002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19" authorId="0" shapeId="0" xr:uid="{00000000-0006-0000-0900-000028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19" authorId="0" shapeId="0" xr:uid="{00000000-0006-0000-0900-00002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19" authorId="0" shapeId="0" xr:uid="{00000000-0006-0000-0900-00002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20" authorId="0" shapeId="0" xr:uid="{00000000-0006-0000-0900-00002B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20" authorId="0" shapeId="0" xr:uid="{00000000-0006-0000-0900-00002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20" authorId="0" shapeId="0" xr:uid="{00000000-0006-0000-0900-00002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21" authorId="0" shapeId="0" xr:uid="{00000000-0006-0000-0900-00002E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21" authorId="0" shapeId="0" xr:uid="{00000000-0006-0000-0900-00002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21" authorId="0" shapeId="0" xr:uid="{00000000-0006-0000-0900-00003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22" authorId="0" shapeId="0" xr:uid="{00000000-0006-0000-0900-000031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22" authorId="0" shapeId="0" xr:uid="{00000000-0006-0000-0900-00003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22" authorId="0" shapeId="0" xr:uid="{00000000-0006-0000-0900-00003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23" authorId="0" shapeId="0" xr:uid="{00000000-0006-0000-0900-000034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23" authorId="0" shapeId="0" xr:uid="{00000000-0006-0000-0900-00003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23" authorId="0" shapeId="0" xr:uid="{00000000-0006-0000-0900-00003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24" authorId="0" shapeId="0" xr:uid="{00000000-0006-0000-0900-000037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24" authorId="0" shapeId="0" xr:uid="{00000000-0006-0000-0900-00003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24" authorId="0" shapeId="0" xr:uid="{00000000-0006-0000-0900-00003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25" authorId="0" shapeId="0" xr:uid="{00000000-0006-0000-0900-00003A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25" authorId="0" shapeId="0" xr:uid="{00000000-0006-0000-0900-00003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25" authorId="0" shapeId="0" xr:uid="{00000000-0006-0000-0900-00003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26" authorId="0" shapeId="0" xr:uid="{00000000-0006-0000-0900-00003D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26" authorId="0" shapeId="0" xr:uid="{00000000-0006-0000-0900-00003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26" authorId="0" shapeId="0" xr:uid="{00000000-0006-0000-0900-00003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27" authorId="0" shapeId="0" xr:uid="{00000000-0006-0000-0900-000040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27" authorId="0" shapeId="0" xr:uid="{00000000-0006-0000-0900-00004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27" authorId="0" shapeId="0" xr:uid="{00000000-0006-0000-0900-00004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28" authorId="0" shapeId="0" xr:uid="{00000000-0006-0000-0900-000043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28" authorId="0" shapeId="0" xr:uid="{00000000-0006-0000-0900-00004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28" authorId="0" shapeId="0" xr:uid="{00000000-0006-0000-0900-00004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29" authorId="0" shapeId="0" xr:uid="{00000000-0006-0000-0900-000046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29" authorId="0" shapeId="0" xr:uid="{00000000-0006-0000-0900-00004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29" authorId="0" shapeId="0" xr:uid="{00000000-0006-0000-0900-00004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30" authorId="0" shapeId="0" xr:uid="{00000000-0006-0000-0900-000049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30" authorId="0" shapeId="0" xr:uid="{00000000-0006-0000-0900-00004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30" authorId="0" shapeId="0" xr:uid="{00000000-0006-0000-0900-00004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31" authorId="0" shapeId="0" xr:uid="{00000000-0006-0000-0900-00004C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31" authorId="0" shapeId="0" xr:uid="{00000000-0006-0000-0900-00004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31" authorId="0" shapeId="0" xr:uid="{00000000-0006-0000-0900-00004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32" authorId="0" shapeId="0" xr:uid="{00000000-0006-0000-0900-00004F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32" authorId="0" shapeId="0" xr:uid="{00000000-0006-0000-0900-00005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32" authorId="0" shapeId="0" xr:uid="{00000000-0006-0000-0900-00005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33" authorId="0" shapeId="0" xr:uid="{00000000-0006-0000-0900-000052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33" authorId="0" shapeId="0" xr:uid="{00000000-0006-0000-0900-00005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33" authorId="0" shapeId="0" xr:uid="{00000000-0006-0000-0900-00005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34" authorId="0" shapeId="0" xr:uid="{00000000-0006-0000-0900-000055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34" authorId="0" shapeId="0" xr:uid="{00000000-0006-0000-0900-00005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34" authorId="0" shapeId="0" xr:uid="{00000000-0006-0000-0900-00005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35" authorId="0" shapeId="0" xr:uid="{00000000-0006-0000-0900-000058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35" authorId="0" shapeId="0" xr:uid="{00000000-0006-0000-0900-00005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35" authorId="0" shapeId="0" xr:uid="{00000000-0006-0000-0900-00005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36" authorId="0" shapeId="0" xr:uid="{00000000-0006-0000-0900-00005B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36" authorId="0" shapeId="0" xr:uid="{00000000-0006-0000-0900-00005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36" authorId="0" shapeId="0" xr:uid="{00000000-0006-0000-0900-00005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37" authorId="0" shapeId="0" xr:uid="{00000000-0006-0000-0900-00005E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37" authorId="0" shapeId="0" xr:uid="{00000000-0006-0000-0900-00005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37" authorId="0" shapeId="0" xr:uid="{00000000-0006-0000-0900-00006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38" authorId="0" shapeId="0" xr:uid="{00000000-0006-0000-0900-000061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38" authorId="0" shapeId="0" xr:uid="{00000000-0006-0000-0900-00006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38" authorId="0" shapeId="0" xr:uid="{00000000-0006-0000-0900-00006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39" authorId="0" shapeId="0" xr:uid="{00000000-0006-0000-0900-000064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39" authorId="0" shapeId="0" xr:uid="{00000000-0006-0000-0900-00006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39" authorId="0" shapeId="0" xr:uid="{00000000-0006-0000-0900-00006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40" authorId="0" shapeId="0" xr:uid="{00000000-0006-0000-0900-000067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40" authorId="0" shapeId="0" xr:uid="{00000000-0006-0000-0900-00006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40" authorId="0" shapeId="0" xr:uid="{00000000-0006-0000-0900-00006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41" authorId="0" shapeId="0" xr:uid="{00000000-0006-0000-0900-00006A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41" authorId="0" shapeId="0" xr:uid="{00000000-0006-0000-0900-00006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41" authorId="0" shapeId="0" xr:uid="{00000000-0006-0000-0900-00006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42" authorId="0" shapeId="0" xr:uid="{00000000-0006-0000-0900-00006D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42" authorId="0" shapeId="0" xr:uid="{00000000-0006-0000-0900-00006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42" authorId="0" shapeId="0" xr:uid="{00000000-0006-0000-0900-00006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43" authorId="0" shapeId="0" xr:uid="{00000000-0006-0000-0900-000070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43" authorId="0" shapeId="0" xr:uid="{00000000-0006-0000-0900-00007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43" authorId="0" shapeId="0" xr:uid="{00000000-0006-0000-0900-00007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44" authorId="0" shapeId="0" xr:uid="{00000000-0006-0000-0900-000073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44" authorId="0" shapeId="0" xr:uid="{00000000-0006-0000-0900-00007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44" authorId="0" shapeId="0" xr:uid="{00000000-0006-0000-0900-00007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45" authorId="0" shapeId="0" xr:uid="{00000000-0006-0000-0900-000076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45" authorId="0" shapeId="0" xr:uid="{00000000-0006-0000-0900-00007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45" authorId="0" shapeId="0" xr:uid="{00000000-0006-0000-0900-00007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46" authorId="0" shapeId="0" xr:uid="{00000000-0006-0000-0900-000079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46" authorId="0" shapeId="0" xr:uid="{00000000-0006-0000-0900-00007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46" authorId="0" shapeId="0" xr:uid="{00000000-0006-0000-0900-00007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47" authorId="0" shapeId="0" xr:uid="{00000000-0006-0000-0900-00007C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47" authorId="0" shapeId="0" xr:uid="{00000000-0006-0000-0900-00007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47" authorId="0" shapeId="0" xr:uid="{00000000-0006-0000-0900-00007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48" authorId="0" shapeId="0" xr:uid="{00000000-0006-0000-0900-00007F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48" authorId="0" shapeId="0" xr:uid="{00000000-0006-0000-0900-00008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48" authorId="0" shapeId="0" xr:uid="{00000000-0006-0000-0900-00008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49" authorId="0" shapeId="0" xr:uid="{00000000-0006-0000-0900-000082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49" authorId="0" shapeId="0" xr:uid="{00000000-0006-0000-0900-00008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49" authorId="0" shapeId="0" xr:uid="{00000000-0006-0000-0900-00008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50" authorId="0" shapeId="0" xr:uid="{00000000-0006-0000-0900-000085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50" authorId="0" shapeId="0" xr:uid="{00000000-0006-0000-0900-00008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50" authorId="0" shapeId="0" xr:uid="{00000000-0006-0000-0900-00008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51" authorId="0" shapeId="0" xr:uid="{00000000-0006-0000-0900-000088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51" authorId="0" shapeId="0" xr:uid="{00000000-0006-0000-0900-00008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51" authorId="0" shapeId="0" xr:uid="{00000000-0006-0000-0900-00008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52" authorId="0" shapeId="0" xr:uid="{00000000-0006-0000-0900-00008B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52" authorId="0" shapeId="0" xr:uid="{00000000-0006-0000-0900-00008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52" authorId="0" shapeId="0" xr:uid="{00000000-0006-0000-0900-00008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53" authorId="0" shapeId="0" xr:uid="{00000000-0006-0000-0900-00008E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53" authorId="0" shapeId="0" xr:uid="{00000000-0006-0000-0900-00008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53" authorId="0" shapeId="0" xr:uid="{00000000-0006-0000-0900-00009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54" authorId="0" shapeId="0" xr:uid="{00000000-0006-0000-0900-000091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54" authorId="0" shapeId="0" xr:uid="{00000000-0006-0000-0900-00009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54" authorId="0" shapeId="0" xr:uid="{00000000-0006-0000-0900-00009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55" authorId="0" shapeId="0" xr:uid="{00000000-0006-0000-0900-000094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55" authorId="0" shapeId="0" xr:uid="{00000000-0006-0000-0900-00009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55" authorId="0" shapeId="0" xr:uid="{00000000-0006-0000-0900-00009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56" authorId="0" shapeId="0" xr:uid="{00000000-0006-0000-0900-000097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56" authorId="0" shapeId="0" xr:uid="{00000000-0006-0000-0900-00009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56" authorId="0" shapeId="0" xr:uid="{00000000-0006-0000-0900-00009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57" authorId="0" shapeId="0" xr:uid="{00000000-0006-0000-0900-00009A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57" authorId="0" shapeId="0" xr:uid="{00000000-0006-0000-0900-00009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57" authorId="0" shapeId="0" xr:uid="{00000000-0006-0000-0900-00009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58" authorId="0" shapeId="0" xr:uid="{00000000-0006-0000-0900-00009D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58" authorId="0" shapeId="0" xr:uid="{00000000-0006-0000-0900-00009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58" authorId="0" shapeId="0" xr:uid="{00000000-0006-0000-0900-00009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59" authorId="0" shapeId="0" xr:uid="{00000000-0006-0000-0900-0000A0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59" authorId="0" shapeId="0" xr:uid="{00000000-0006-0000-0900-0000A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59" authorId="0" shapeId="0" xr:uid="{00000000-0006-0000-0900-0000A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60" authorId="0" shapeId="0" xr:uid="{00000000-0006-0000-0900-0000A3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60" authorId="0" shapeId="0" xr:uid="{00000000-0006-0000-0900-0000A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60" authorId="0" shapeId="0" xr:uid="{00000000-0006-0000-0900-0000A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61" authorId="0" shapeId="0" xr:uid="{00000000-0006-0000-0900-0000A6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61" authorId="0" shapeId="0" xr:uid="{00000000-0006-0000-0900-0000A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61" authorId="0" shapeId="0" xr:uid="{00000000-0006-0000-0900-0000A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62" authorId="0" shapeId="0" xr:uid="{00000000-0006-0000-0900-0000A9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62" authorId="0" shapeId="0" xr:uid="{00000000-0006-0000-0900-0000A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62" authorId="0" shapeId="0" xr:uid="{00000000-0006-0000-0900-0000A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63" authorId="0" shapeId="0" xr:uid="{00000000-0006-0000-0900-0000AC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63" authorId="0" shapeId="0" xr:uid="{00000000-0006-0000-0900-0000A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63" authorId="0" shapeId="0" xr:uid="{00000000-0006-0000-0900-0000A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64" authorId="0" shapeId="0" xr:uid="{00000000-0006-0000-0900-0000AF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64" authorId="0" shapeId="0" xr:uid="{00000000-0006-0000-0900-0000B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64" authorId="0" shapeId="0" xr:uid="{00000000-0006-0000-0900-0000B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65" authorId="0" shapeId="0" xr:uid="{00000000-0006-0000-0900-0000B2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65" authorId="0" shapeId="0" xr:uid="{00000000-0006-0000-0900-0000B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65" authorId="0" shapeId="0" xr:uid="{00000000-0006-0000-0900-0000B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66" authorId="0" shapeId="0" xr:uid="{00000000-0006-0000-0900-0000B5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66" authorId="0" shapeId="0" xr:uid="{00000000-0006-0000-0900-0000B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66" authorId="0" shapeId="0" xr:uid="{00000000-0006-0000-0900-0000B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67" authorId="0" shapeId="0" xr:uid="{00000000-0006-0000-0900-0000B8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67" authorId="0" shapeId="0" xr:uid="{00000000-0006-0000-0900-0000B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67" authorId="0" shapeId="0" xr:uid="{00000000-0006-0000-0900-0000B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68" authorId="0" shapeId="0" xr:uid="{00000000-0006-0000-0900-0000BB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68" authorId="0" shapeId="0" xr:uid="{00000000-0006-0000-0900-0000B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68" authorId="0" shapeId="0" xr:uid="{00000000-0006-0000-0900-0000B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69" authorId="0" shapeId="0" xr:uid="{00000000-0006-0000-0900-0000BE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69" authorId="0" shapeId="0" xr:uid="{00000000-0006-0000-0900-0000B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69" authorId="0" shapeId="0" xr:uid="{00000000-0006-0000-0900-0000C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70" authorId="0" shapeId="0" xr:uid="{00000000-0006-0000-0900-0000C1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70" authorId="0" shapeId="0" xr:uid="{00000000-0006-0000-0900-0000C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70" authorId="0" shapeId="0" xr:uid="{00000000-0006-0000-0900-0000C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71" authorId="0" shapeId="0" xr:uid="{00000000-0006-0000-0900-0000C4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71" authorId="0" shapeId="0" xr:uid="{00000000-0006-0000-0900-0000C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71" authorId="0" shapeId="0" xr:uid="{00000000-0006-0000-0900-0000C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72" authorId="0" shapeId="0" xr:uid="{00000000-0006-0000-0900-0000C7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72" authorId="0" shapeId="0" xr:uid="{00000000-0006-0000-0900-0000C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72" authorId="0" shapeId="0" xr:uid="{00000000-0006-0000-0900-0000C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73" authorId="0" shapeId="0" xr:uid="{00000000-0006-0000-0900-0000CA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73" authorId="0" shapeId="0" xr:uid="{00000000-0006-0000-0900-0000C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73" authorId="0" shapeId="0" xr:uid="{00000000-0006-0000-0900-0000C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74" authorId="0" shapeId="0" xr:uid="{00000000-0006-0000-0900-0000CD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74" authorId="0" shapeId="0" xr:uid="{00000000-0006-0000-0900-0000C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74" authorId="0" shapeId="0" xr:uid="{00000000-0006-0000-0900-0000C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75" authorId="0" shapeId="0" xr:uid="{00000000-0006-0000-0900-0000D0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75" authorId="0" shapeId="0" xr:uid="{00000000-0006-0000-0900-0000D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75" authorId="0" shapeId="0" xr:uid="{00000000-0006-0000-0900-0000D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76" authorId="0" shapeId="0" xr:uid="{00000000-0006-0000-0900-0000D3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76" authorId="0" shapeId="0" xr:uid="{00000000-0006-0000-0900-0000D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76" authorId="0" shapeId="0" xr:uid="{00000000-0006-0000-0900-0000D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77" authorId="0" shapeId="0" xr:uid="{00000000-0006-0000-0900-0000D6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77" authorId="0" shapeId="0" xr:uid="{00000000-0006-0000-0900-0000D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77" authorId="0" shapeId="0" xr:uid="{00000000-0006-0000-0900-0000D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78" authorId="0" shapeId="0" xr:uid="{00000000-0006-0000-0900-0000D9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78" authorId="0" shapeId="0" xr:uid="{00000000-0006-0000-0900-0000D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78" authorId="0" shapeId="0" xr:uid="{00000000-0006-0000-0900-0000D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79" authorId="0" shapeId="0" xr:uid="{00000000-0006-0000-0900-0000DC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79" authorId="0" shapeId="0" xr:uid="{00000000-0006-0000-0900-0000D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79" authorId="0" shapeId="0" xr:uid="{00000000-0006-0000-0900-0000D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80" authorId="0" shapeId="0" xr:uid="{00000000-0006-0000-0900-0000DF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80" authorId="0" shapeId="0" xr:uid="{00000000-0006-0000-0900-0000E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80" authorId="0" shapeId="0" xr:uid="{00000000-0006-0000-0900-0000E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81" authorId="0" shapeId="0" xr:uid="{00000000-0006-0000-0900-0000E2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81" authorId="0" shapeId="0" xr:uid="{00000000-0006-0000-0900-0000E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81" authorId="0" shapeId="0" xr:uid="{00000000-0006-0000-0900-0000E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82" authorId="0" shapeId="0" xr:uid="{00000000-0006-0000-0900-0000E5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82" authorId="0" shapeId="0" xr:uid="{00000000-0006-0000-0900-0000E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82" authorId="0" shapeId="0" xr:uid="{00000000-0006-0000-0900-0000E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83" authorId="0" shapeId="0" xr:uid="{00000000-0006-0000-0900-0000E8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83" authorId="0" shapeId="0" xr:uid="{00000000-0006-0000-0900-0000E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83" authorId="0" shapeId="0" xr:uid="{00000000-0006-0000-0900-0000E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84" authorId="0" shapeId="0" xr:uid="{00000000-0006-0000-0900-0000EB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84" authorId="0" shapeId="0" xr:uid="{00000000-0006-0000-0900-0000E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84" authorId="0" shapeId="0" xr:uid="{00000000-0006-0000-0900-0000E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85" authorId="0" shapeId="0" xr:uid="{00000000-0006-0000-0900-0000EE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85" authorId="0" shapeId="0" xr:uid="{00000000-0006-0000-0900-0000E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85" authorId="0" shapeId="0" xr:uid="{00000000-0006-0000-0900-0000F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86" authorId="0" shapeId="0" xr:uid="{00000000-0006-0000-0900-0000F1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86" authorId="0" shapeId="0" xr:uid="{00000000-0006-0000-0900-0000F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86" authorId="0" shapeId="0" xr:uid="{00000000-0006-0000-0900-0000F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87" authorId="0" shapeId="0" xr:uid="{00000000-0006-0000-0900-0000F4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87" authorId="0" shapeId="0" xr:uid="{00000000-0006-0000-0900-0000F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87" authorId="0" shapeId="0" xr:uid="{00000000-0006-0000-0900-0000F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88" authorId="0" shapeId="0" xr:uid="{00000000-0006-0000-0900-0000F7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88" authorId="0" shapeId="0" xr:uid="{00000000-0006-0000-0900-0000F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88" authorId="0" shapeId="0" xr:uid="{00000000-0006-0000-0900-0000F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89" authorId="0" shapeId="0" xr:uid="{00000000-0006-0000-0900-0000FA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89" authorId="0" shapeId="0" xr:uid="{00000000-0006-0000-0900-0000F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89" authorId="0" shapeId="0" xr:uid="{00000000-0006-0000-0900-0000F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90" authorId="0" shapeId="0" xr:uid="{00000000-0006-0000-0900-0000FD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90" authorId="0" shapeId="0" xr:uid="{00000000-0006-0000-0900-0000F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90" authorId="0" shapeId="0" xr:uid="{00000000-0006-0000-0900-0000F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91" authorId="0" shapeId="0" xr:uid="{00000000-0006-0000-0900-00000001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91" authorId="0" shapeId="0" xr:uid="{00000000-0006-0000-0900-00000101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91" authorId="0" shapeId="0" xr:uid="{00000000-0006-0000-0900-00000201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92" authorId="0" shapeId="0" xr:uid="{00000000-0006-0000-0900-00000301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92" authorId="0" shapeId="0" xr:uid="{00000000-0006-0000-0900-00000401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92" authorId="0" shapeId="0" xr:uid="{00000000-0006-0000-0900-00000501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93" authorId="0" shapeId="0" xr:uid="{00000000-0006-0000-0900-00000601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93" authorId="0" shapeId="0" xr:uid="{00000000-0006-0000-0900-00000701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93" authorId="0" shapeId="0" xr:uid="{00000000-0006-0000-0900-00000801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94" authorId="0" shapeId="0" xr:uid="{00000000-0006-0000-0900-00000901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94" authorId="0" shapeId="0" xr:uid="{00000000-0006-0000-0900-00000A01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94" authorId="0" shapeId="0" xr:uid="{00000000-0006-0000-0900-00000B01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95" authorId="0" shapeId="0" xr:uid="{00000000-0006-0000-0900-00000C01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95" authorId="0" shapeId="0" xr:uid="{00000000-0006-0000-0900-00000D01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95" authorId="0" shapeId="0" xr:uid="{00000000-0006-0000-0900-00000E01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96" authorId="0" shapeId="0" xr:uid="{00000000-0006-0000-0900-00000F01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96" authorId="0" shapeId="0" xr:uid="{00000000-0006-0000-0900-00001001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96" authorId="0" shapeId="0" xr:uid="{00000000-0006-0000-0900-00001101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97" authorId="0" shapeId="0" xr:uid="{00000000-0006-0000-0900-00001201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97" authorId="0" shapeId="0" xr:uid="{00000000-0006-0000-0900-00001301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97" authorId="0" shapeId="0" xr:uid="{00000000-0006-0000-0900-00001401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98" authorId="0" shapeId="0" xr:uid="{00000000-0006-0000-0900-00001501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98" authorId="0" shapeId="0" xr:uid="{00000000-0006-0000-0900-00001601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98" authorId="0" shapeId="0" xr:uid="{00000000-0006-0000-0900-00001701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</commentList>
</comments>
</file>

<file path=xl/sharedStrings.xml><?xml version="1.0" encoding="utf-8"?>
<sst xmlns="http://schemas.openxmlformats.org/spreadsheetml/2006/main" count="635" uniqueCount="428">
  <si>
    <t>Уникальный номер мероприятия</t>
  </si>
  <si>
    <t>Наименование объекта учета</t>
  </si>
  <si>
    <t>Номер приоритетного направления</t>
  </si>
  <si>
    <t>Очередной финансовый год</t>
  </si>
  <si>
    <t>1 год планового периода</t>
  </si>
  <si>
    <t>2 год планового периода</t>
  </si>
  <si>
    <t>Целевые показатели по приоритетным направлениям, которые будут обеспечены в результате реализации мероприятия по информатизации</t>
  </si>
  <si>
    <t>Наименование показателя</t>
  </si>
  <si>
    <t>Единица измерения</t>
  </si>
  <si>
    <t>Базовое (текущее) значение</t>
  </si>
  <si>
    <t>Основания реализации мероприятия по информатизации (наименование, дата, номер, пункты, статьи)</t>
  </si>
  <si>
    <t>Ожидаемые 
(плановые) значения</t>
  </si>
  <si>
    <t>Тип 
мероприятия по информатизации</t>
  </si>
  <si>
    <t>№ п/п</t>
  </si>
  <si>
    <t>Полное наименование ОИВ</t>
  </si>
  <si>
    <t>Краткое наименование ОИВ</t>
  </si>
  <si>
    <t>Аппарат Губернатора и Правительства Оренбургской области</t>
  </si>
  <si>
    <t>Министерство здравоохранения Оренбургской области</t>
  </si>
  <si>
    <t>Министерство социального развития Оренбургской области</t>
  </si>
  <si>
    <t>Министерство образования Оренбургской области</t>
  </si>
  <si>
    <t>Министерство природных ресурсов, экологии и имущественных отношений Оренбургской области</t>
  </si>
  <si>
    <t>Министерство труда и занятости населения Оренбургской области</t>
  </si>
  <si>
    <t>Министерство финансов Оренбургской области</t>
  </si>
  <si>
    <t>Департамент Оренбургской области по ценам и регулированию тарифов</t>
  </si>
  <si>
    <t>Департамент молодежной политики Оренбургской области</t>
  </si>
  <si>
    <t>Департамент пожарной безопасности и гражданской защиты Оренбургской области</t>
  </si>
  <si>
    <t>Государственная жилищная инспекция по Оренбургской области</t>
  </si>
  <si>
    <t>Инспекция государственного строительного надзора Оренбургской области</t>
  </si>
  <si>
    <t>Комитет по обеспечению деятельности мировых судей Оренбургской области</t>
  </si>
  <si>
    <t>Комитет по вопросам записи актов гражданского состояния Оренбургской области</t>
  </si>
  <si>
    <t>Комитет по делам архивов Оренбургской области</t>
  </si>
  <si>
    <t>АГИП</t>
  </si>
  <si>
    <t>Минздрав</t>
  </si>
  <si>
    <t>Минсоцразвития</t>
  </si>
  <si>
    <t>Минкультуры</t>
  </si>
  <si>
    <t>Минспорта</t>
  </si>
  <si>
    <t>Минприроды</t>
  </si>
  <si>
    <t>Минсельхоз</t>
  </si>
  <si>
    <t>Минстрой</t>
  </si>
  <si>
    <t>Минтруд</t>
  </si>
  <si>
    <t>Минфин</t>
  </si>
  <si>
    <t>Минконтроля</t>
  </si>
  <si>
    <t>Минэконом</t>
  </si>
  <si>
    <t>Департамент по ценам</t>
  </si>
  <si>
    <t>Департамент молодежи</t>
  </si>
  <si>
    <t>Департамент ПБ и ГЗ</t>
  </si>
  <si>
    <t>Жилинспекция</t>
  </si>
  <si>
    <t>Инспекция госстройнадзора</t>
  </si>
  <si>
    <t>Комитет мировых судей</t>
  </si>
  <si>
    <t>Комитет ЗАГС</t>
  </si>
  <si>
    <t>Комитет по делам архивов</t>
  </si>
  <si>
    <t>Код ГРБС</t>
  </si>
  <si>
    <t>Минобразования</t>
  </si>
  <si>
    <t>полное наименование государственного органа</t>
  </si>
  <si>
    <t>Код ОКЕИ</t>
  </si>
  <si>
    <t>Вид плана</t>
  </si>
  <si>
    <t>Предварительный</t>
  </si>
  <si>
    <t>Итоговый</t>
  </si>
  <si>
    <t>Измененный</t>
  </si>
  <si>
    <t>Номер изменений</t>
  </si>
  <si>
    <t>План информатизации</t>
  </si>
  <si>
    <t>Дата</t>
  </si>
  <si>
    <t>Коды</t>
  </si>
  <si>
    <t>Наименование государственного органа, осуществляющего реализацию мероприятия</t>
  </si>
  <si>
    <t>Наименование мероприятия</t>
  </si>
  <si>
    <t>Дополнительная информация</t>
  </si>
  <si>
    <t>Развитие</t>
  </si>
  <si>
    <t>Создание</t>
  </si>
  <si>
    <t>Эксплуатация</t>
  </si>
  <si>
    <t>Вывод из эксплуатациии</t>
  </si>
  <si>
    <t>подготовка к созданию</t>
  </si>
  <si>
    <t>разработка</t>
  </si>
  <si>
    <t>эксплуатация</t>
  </si>
  <si>
    <t>выведен из эксплуатации</t>
  </si>
  <si>
    <t>отсутствует</t>
  </si>
  <si>
    <t>Код(ы) государственной услуги</t>
  </si>
  <si>
    <t>Наименование(я) государственной услуги</t>
  </si>
  <si>
    <t>Код(ы) государственной функции</t>
  </si>
  <si>
    <t>Наименование(я) государственной функции</t>
  </si>
  <si>
    <t>Основание(я) для исполнения государственной функции</t>
  </si>
  <si>
    <t>Тип документа по информатизации</t>
  </si>
  <si>
    <t>Обоснование мероприятия по информатизации</t>
  </si>
  <si>
    <t>Наименование документа по информатизации</t>
  </si>
  <si>
    <t>положительная оценка УО</t>
  </si>
  <si>
    <t>отрицательная оценка УО</t>
  </si>
  <si>
    <t>показатели</t>
  </si>
  <si>
    <t>наименование показателя</t>
  </si>
  <si>
    <t>единица измерения</t>
  </si>
  <si>
    <t>Базовое значение</t>
  </si>
  <si>
    <t>плановое значение</t>
  </si>
  <si>
    <t>индикаторы</t>
  </si>
  <si>
    <t>наименование индикатора</t>
  </si>
  <si>
    <t>Объем бюджетных ассигнований, тыс. рублей</t>
  </si>
  <si>
    <t>Объем бюджетных ассигнований, 
тыс. рублей</t>
  </si>
  <si>
    <t>Очередной 
(текущий) год</t>
  </si>
  <si>
    <t>Первый год 
планового периода</t>
  </si>
  <si>
    <t>Второй год 
планового периода</t>
  </si>
  <si>
    <t>Код товара, работы, услуги</t>
  </si>
  <si>
    <t>Наименование заказчика</t>
  </si>
  <si>
    <t>Код ОКПД</t>
  </si>
  <si>
    <t>Идентификационный код закупки</t>
  </si>
  <si>
    <t>Обоснование 
закупки</t>
  </si>
  <si>
    <t>Наименование метода определения стоимости закупки</t>
  </si>
  <si>
    <t>Оценка не производилась</t>
  </si>
  <si>
    <t>отрицательное заключение</t>
  </si>
  <si>
    <t>Параметры не изменялись</t>
  </si>
  <si>
    <t>Параметры изменялись</t>
  </si>
  <si>
    <t>Обеспечение эксплуатации</t>
  </si>
  <si>
    <t>Общетехнологические нужды</t>
  </si>
  <si>
    <t>Оценка требуется</t>
  </si>
  <si>
    <t>Оценка не требуется</t>
  </si>
  <si>
    <t>Требуется повторная оценка</t>
  </si>
  <si>
    <t>СВЕДЕНИЯ О МЕРОПРИЯТИЯХ ПО ИНФОРМАТИЗАЦИИ</t>
  </si>
  <si>
    <t>Раздел 1. Общие сведения</t>
  </si>
  <si>
    <t>Форма "План информатизации" (титул)</t>
  </si>
  <si>
    <t>3. В графе "Номер изменений" выбирается номер из выпадающего списка в случае выбора в графе "Вид плана" значение "Измененный"</t>
  </si>
  <si>
    <t>Раздел 1. "Ощие сведения"</t>
  </si>
  <si>
    <t xml:space="preserve">1. Графа "Наименование органа…" заполняется в случае направления в уполномоченный орган информации об отдельном мероприятии по информатизации. Если информация о мероприятиях вносится в рамках
</t>
  </si>
  <si>
    <t>подготовки плана информатизации, графа не заполняется, наименование органа исполнительной власти выбирается на титульной странице.</t>
  </si>
  <si>
    <t>1. Наименование органа исполнительной власти выбирается из выпадающего списка. Код ГРБС проставляется автоматически</t>
  </si>
  <si>
    <t>текст</t>
  </si>
  <si>
    <t>Обеспечение возможности размещения информации в форме открытых данных</t>
  </si>
  <si>
    <t xml:space="preserve">Раздел 2. Государственные услуги (функции) государственного органа, </t>
  </si>
  <si>
    <t>на информатизацию которых направлено мероприятие по информатизации</t>
  </si>
  <si>
    <t>Т - тип мероприятия по информатизации, указывается одно из следующих значений:</t>
  </si>
  <si>
    <t>С - Создание;</t>
  </si>
  <si>
    <t>Р - Развитие;</t>
  </si>
  <si>
    <t>Э - Эксплуатация;</t>
  </si>
  <si>
    <t>В - Вывод из эксплуатации;</t>
  </si>
  <si>
    <t>GGG - код ГРБС (заполняется автоматически при выборе на титульной странице органа исполнительной власти)</t>
  </si>
  <si>
    <t>NNN - порядковый номер мероприятия по информатизации (формируется при заполнении графы "Наименование мероприятия по информатизации").</t>
  </si>
  <si>
    <t xml:space="preserve">2. Графа "Наименование объекта учета" - наименование объекта учета (ИС, компонента ИТКИ и т.д.) заполняется в соответствии с документом о создании объекта (вводе объекта в эксплутацию или иного </t>
  </si>
  <si>
    <t>документа-основания, содержащего официальное название объекта, подлежащего учету)</t>
  </si>
  <si>
    <t>3. Графа "Идентификатор объекта учета" в виду неработоспособности системы учета не заполняется.</t>
  </si>
  <si>
    <t>4. Графа "Статус состояния объекта учета" - выбирается из выпадающего списка из следующих значений:</t>
  </si>
  <si>
    <t>опытная эксплуатация</t>
  </si>
  <si>
    <t>Вывод из эксплуатации</t>
  </si>
  <si>
    <t>6. Графа "Наименование мероприятия" - формируется автоматически на основании наименования объекта учета и выбранного типа мероприятия</t>
  </si>
  <si>
    <r>
      <t xml:space="preserve">7. Графа "Уникальный номер мероприятия" автоматически формируется по маске: </t>
    </r>
    <r>
      <rPr>
        <b/>
        <sz val="11"/>
        <color rgb="FFFF0000"/>
        <rFont val="Calibri"/>
        <family val="2"/>
        <charset val="204"/>
        <scheme val="minor"/>
      </rPr>
      <t>GGG.T.NNN</t>
    </r>
    <r>
      <rPr>
        <sz val="11"/>
        <color rgb="FFFF0000"/>
        <rFont val="Calibri"/>
        <family val="2"/>
        <charset val="204"/>
        <scheme val="minor"/>
      </rPr>
      <t>, где</t>
    </r>
  </si>
  <si>
    <t>Наименование мероприятия по информатизации
(формируется автоматически на основании наименования объекта учета и выбранного типа мероприятия)</t>
  </si>
  <si>
    <t>Статус состояния объекта учета
(выбирается из выпадающего списка)</t>
  </si>
  <si>
    <t>Планируемый статус объекта учета
(выбирается из выпадающего списка)</t>
  </si>
  <si>
    <t>Приоритетное направление
(выбирается из выпадающего списка)</t>
  </si>
  <si>
    <t>Наименование приоритетного направления, соответствующее номеру, указанов в примечании, выпадающем при наведении курсора на ячейку. Выбирается из выпадающего списка из следующих значений:</t>
  </si>
  <si>
    <t>9. Графа "Документ-основание" - Указываются реквизиты документа (тип документа, дата, номер, наименование и орган государственной власти, принявший документ), являющего основанием для реализации</t>
  </si>
  <si>
    <t xml:space="preserve"> мероприятия по информатизации. Если документ не может быть получен с использованием общедоступных информационных ресурсов, рекомендуется с планом информатизации направить в уполномоченный орган </t>
  </si>
  <si>
    <t>Тип мероприятия
(выбирается из выпадающего списка)</t>
  </si>
  <si>
    <t xml:space="preserve">10. Графа "Ответственный за реализацию мероприятия" - указываются фамилия, имя, отчество и должность, контактный телефон и адрес электронной почты должностного лица государственного органа, </t>
  </si>
  <si>
    <t>ответственного за планирование и реализацию мероприятия по использованию информационных технологий в деятельности государственного органа</t>
  </si>
  <si>
    <t xml:space="preserve">11. Графа "Информация в форме открытых данных" - указывается перечень видов общедоступной информации, сбор, хранение и размещение которой обеспечивается объектом учета в форме открытых данных </t>
  </si>
  <si>
    <t xml:space="preserve">(наборы открытых данных) на дату формирования сведения о мероприятии по информатизации. Заполняется (при наличии) только для информационных систем специальной и типовой деятельности.  </t>
  </si>
  <si>
    <t xml:space="preserve">12. Графа "Обеспечение возможности размещения информации в форме открытых данных" - указывается перечень видов общедоступной информации, сбор, хранение и размещение которой планируется обеспечить </t>
  </si>
  <si>
    <t xml:space="preserve">посредством объекта учета в форме открытых данных (наборы открытых данных) в результате реализации мероприятия по информатизации. Заполняется (при наличии) только для информационных систем </t>
  </si>
  <si>
    <t>специальной и типовой деятельности</t>
  </si>
  <si>
    <t>электронную копию такого документа. Ссылка на документ-основание в сети Интернет, либо информация о направлении в уполномоченный орган его электронной копии указывается в графе "Дополнительная информация"</t>
  </si>
  <si>
    <t xml:space="preserve">13. Графа "Дополнительная информация" - указывается ссылка на документ-основание либо информация о направлении в УО электронной копии такого документа. Также может быть указана информация о направлении в УО </t>
  </si>
  <si>
    <t>электронных копий иных документов, содержащих дополнительную информацию по обоснованию необходимости реализации мероприятия по информатизации.</t>
  </si>
  <si>
    <t>Раздел 2. Государственные услуги (функции) государственного органа, на информатизацию которых направлено мероприятие по информатизации"</t>
  </si>
  <si>
    <t>РАЗДЕЛ ЗАПОЛНЯЕТСЯ ТОЛЬКО ДЛЯ МЕРОПРИЯТИЙ, НАПРАВЛЕННЫХ НА СОЗДАНИЕ И РАЗВИТИЕ ИС СПЕЦИАЛЬНОЙ И ТИПОВОЙ ДЕЯТЕЛЬНОСТИ</t>
  </si>
  <si>
    <t xml:space="preserve">1. Графа "Наименование мероприятия по информатизации" - выбирается из выпадающего списка. Список формируется при заполнении раздела 1. "Общие сведения", поэтому, если мероприятие не внесено </t>
  </si>
  <si>
    <t>в разделе "Общие сведения", в списке оно отображаться не будет.</t>
  </si>
  <si>
    <t>3. Графа "Наименование государственной услуги" - указывается наименование государственной услуги в соответствии с данными в реестре государственных и муниципальных услуг (функций).</t>
  </si>
  <si>
    <t>4.  Графа "Код(ы) государственной функции" - приводится код государственной функции в соответствии с данными реестра государственных и муниципальных услуг (функций).</t>
  </si>
  <si>
    <t>2. Графа "Код(ы) государственной услуги" - приводится код государственной услуги в соответствии с данными реестра государственных и муниципальных услуг (функций).</t>
  </si>
  <si>
    <t>5. Графа "Наименование государственной функции" - указывается наименование государственной функции в соответствии с данными в реестре государственных и муниципальных услуг (функций).</t>
  </si>
  <si>
    <t xml:space="preserve">6. Графа "Основания для исполнения государственной функции" - указываются реквизиты документа (тип документа, дата, номер, наименование и орган государственной власти, принявший документ), устанавливающего </t>
  </si>
  <si>
    <t>полномочие по исполнению государственным органом государственной функции.</t>
  </si>
  <si>
    <t>Раздел 3. Сведения о документах по информатизации</t>
  </si>
  <si>
    <t>(заполняется, если отсутствуют документы-основания)</t>
  </si>
  <si>
    <t>В случае если документом-основанием является документ по информатизации (раздел 3), то указывается признак "Документ по информатизации" и вышеуказанные сведения в графу "Документы-основания" не вносятся</t>
  </si>
  <si>
    <t>2. Графа "Тип документа по информатизации" - указывается тип документа по информатизации</t>
  </si>
  <si>
    <t>содержащие обоснование мероприятия по информатизации (например, поручение Президента Российской Федерации, поручение Правительства Российской Федерации и иные документы).</t>
  </si>
  <si>
    <t>3. Графа "Обоснование мероприятия по информатизации" - приводится дополнительная информация по обоснованию мероприятия по информатизации и при необходимости прикладываются дополнительные материалы,</t>
  </si>
  <si>
    <t>4. Графа "Наименование документа по информатизации" - указывается наименование документа по информатизации</t>
  </si>
  <si>
    <t xml:space="preserve">5. Графа "Оценка мероприятия по информатизации" - указывается статус (результат) оценки мероприятия по информатизации, предусмотренного документом по информатизации путем выбора одного из следующих значений:
</t>
  </si>
  <si>
    <t>- отрицательное заключение уполномоченного органа</t>
  </si>
  <si>
    <t>- направляется на оценку</t>
  </si>
  <si>
    <t>- положительное заключение уполномоченного оргна</t>
  </si>
  <si>
    <t>направляются в уполномоченный оргн для оценки в составе плана информатизации впервые, выбирается значение "направляется на оценку"</t>
  </si>
  <si>
    <t>Значения о наличии заключения уполномоченного органа выбираются в случае, если информация о мероприятии ранее направлялось в уполномоченный орган для оценки. Если сведения о мероприятии</t>
  </si>
  <si>
    <t>Раздел 4. Сведения о целевых показателях и соответствующих им индикаторах реализации мероприятия по информатизации</t>
  </si>
  <si>
    <t xml:space="preserve"> (заполняется для приоритетных мероприятий по информатизации)</t>
  </si>
  <si>
    <t xml:space="preserve">Раздел 4. Сведения о целевых показателях и соответствующих им индикаторах реализации мероприятия по информатизации </t>
  </si>
  <si>
    <t>(заполняется только для приоритетных мероприятий)</t>
  </si>
  <si>
    <t>2. Графа "Ожидаемый результат" - 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</si>
  <si>
    <t>Очередной финансовый
год</t>
  </si>
  <si>
    <t>1 год
планового периода</t>
  </si>
  <si>
    <t>2 год 
планового периода</t>
  </si>
  <si>
    <t>3. Графа "Наименование показателя" - указывается наименование показателя. Перечень показателей формируется в соответствии с типом мероприятия по информатизации, классификационной категории объекта учета, на которую</t>
  </si>
  <si>
    <t xml:space="preserve">направлено мероприятие по информатизации и приоритетных направлений, указанных в Разделе 1 "Общие сведения". Перечень показателей включает базовые и дополнительные показатели в соответствии </t>
  </si>
  <si>
    <t>с методическими рекомендациями по формированию  органами исполнительной власти системы целевых показателей и соответствующих им индикаторов информатизации по приоритетным направлениям использования и развития</t>
  </si>
  <si>
    <t xml:space="preserve"> информационно-коммуникационных технологий</t>
  </si>
  <si>
    <t xml:space="preserve">4. Графа "Единица измерения" - указывается в соответствии с общероссийским классификатором единиц измерения (ОКЕИ). </t>
  </si>
  <si>
    <t>5. Графа "Базовое значение" - указывается текущее значение показателя, которое будет являться основой для оценки плановых значений показателей в целом по мероприятию по информатизации</t>
  </si>
  <si>
    <t>6. Графа "Плановое значение" - указывается значение показателя, которое планируется достигнуть в результате реализации мероприятия в целом по мероприятию и для каждого года планового периода</t>
  </si>
  <si>
    <t>7. Графа "Наименование индикатора" - формируется в соответствии с выбранными показателями</t>
  </si>
  <si>
    <t>8. Графа "Плановое значение" - рассчитывается значение индикатора, которое планируется достигнуть в результате реализации мероприятия в целом по мероприятию и для каждого года планового периода. Расчет производится в соответствии</t>
  </si>
  <si>
    <t>с методическими рекомендациями по формированию органами исполнительной власти системы целевых показателей и соответствующих им индикаторов информатизации по приоритетным направлениям использования и развития и</t>
  </si>
  <si>
    <t>нформационно-коммуникационных технологий. Единицей измерения индикатора является процент (%)</t>
  </si>
  <si>
    <t>Раздел 5. Сведения об объемах бюджетных ассигнований на мероприятие по информатизации</t>
  </si>
  <si>
    <t>2. Графа "Объем бюджетных ассигнований" - указывается совокупный объем средств бюджетных ассигнований на очередной (текущий) год и плановый период, на реализацию мероприятия по информатизации, в тысячах рублей</t>
  </si>
  <si>
    <t>Раздел 6. Сведения о товарах, работах, услугах, необходимых для реализации мероприятий по информатизации</t>
  </si>
  <si>
    <t>2. Графа "Код товара, работы, услуги" - указывается порядковый номер товара, работы или соответственно услуги в рамках формируемого мероприятия по информатизации.</t>
  </si>
  <si>
    <t>Порядковый номер формируется по маске: ВN, где</t>
  </si>
  <si>
    <t>В - префикс вида закупки:</t>
  </si>
  <si>
    <t>Т - товар</t>
  </si>
  <si>
    <t>Р - работы</t>
  </si>
  <si>
    <t>У - услуги</t>
  </si>
  <si>
    <t>N - порядковый номер начиная с 1</t>
  </si>
  <si>
    <t>Т1, Т2, Р1, Р2, У1, У2 и т.д.</t>
  </si>
  <si>
    <t>3. Графа "Наименование заказчика" - указывается наименование заказчика в соответствии с Федеральным законом № 44-ФЗ</t>
  </si>
  <si>
    <t>поставка товара</t>
  </si>
  <si>
    <t>выполнение работы</t>
  </si>
  <si>
    <t>оказание услуги</t>
  </si>
  <si>
    <t>4. Графа "Наименование объекта закупки" - указывается наименование объекта закупки в соответствии с Федеральным законом 44-ФЗ из выпадающего списка</t>
  </si>
  <si>
    <t>Статья 13. Цели осуществления закупок</t>
  </si>
  <si>
    <t>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</t>
  </si>
  <si>
    <t>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</t>
  </si>
  <si>
    <t>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</t>
  </si>
  <si>
    <t>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</si>
  <si>
    <t>1)</t>
  </si>
  <si>
    <t>2)</t>
  </si>
  <si>
    <t>3)</t>
  </si>
  <si>
    <t>Наименование 
товара, работы, услуги по ОКПД</t>
  </si>
  <si>
    <t>5. Графа "Цели закупки" - указываются цели закупки товаров, работ или услуг, необходимых для реализации мероприятия по информатизации в соответствии со статьей 13 Федерального закона 44-ФЗ (выпадающий список)</t>
  </si>
  <si>
    <t xml:space="preserve">6. Графа "Наименование товара, работы, услуги по ОКПД" - указывается наименование товара, работы, услуги, необходимых для реализации мероприятия по информатизации. Наименование товара, работы, услуги указывается </t>
  </si>
  <si>
    <t>согласно Общероссийскому классификатору продукции по видам экономической деятельности (ОК 034-2014)</t>
  </si>
  <si>
    <t>7. Графа "Код ОКДП" - для каждого товара, работы, услуги указывается код согласно Общероссийскому классификатору продукции по видам экономической деятельности (ОК 034-2014)</t>
  </si>
  <si>
    <t>8. Графа "Объем бюджетных ассигнований" - указывается стоимость товара, работы, услуги, в тыс. рублей</t>
  </si>
  <si>
    <t xml:space="preserve">9. Графа "Обоснование закупки" - приводится обоснование закупки товаров, работ, услуг в соответствии со статьей 18 Федерального закона N 44-ФЗ
</t>
  </si>
  <si>
    <t xml:space="preserve">10. Графа "Наименование метода определения стоимости закупки" - приводится наименование метода определения стоимости закупки товара, работы, услуги в соответствии с требованиями статьи 22 с учетом требований </t>
  </si>
  <si>
    <t>статьи 19 Федерального закона N 44-ФЗ (заполняется на 2-ом этапе формирования плана по информатизации)</t>
  </si>
  <si>
    <t>11. Графа "Идентификационный код объекта закупки" - идентификационный код объекта закупки заполняется после утверждения заказчиком плана-графика закупок</t>
  </si>
  <si>
    <t>Пример:</t>
  </si>
  <si>
    <t>Раздел 7. Сведения о необходимости проведения оценки мероприятия по информатизации</t>
  </si>
  <si>
    <t xml:space="preserve">2. Графа "Сведения об оценке мероприятия по информатизации" - указывается один из следующих статусов оценки уполномоченным органом мероприятия по информатизации:
</t>
  </si>
  <si>
    <t>3. отрицательное заключение</t>
  </si>
  <si>
    <t>1. не проводилась</t>
  </si>
  <si>
    <t>2. положительное заключение</t>
  </si>
  <si>
    <t>Статусы "положительное" или "отрицательное" заключение указываются в случае, если ранее органом исполнительной власти мероприятие направлялось в УО для проведения оценки.</t>
  </si>
  <si>
    <t>В случае направления информации о мероприятии впервые в составе плана информатизации выбирается статус "не проводилась"</t>
  </si>
  <si>
    <t>1. параметры не изменились</t>
  </si>
  <si>
    <t>4. Графа "Вид закупки" - в случае указания в разделе 6 нормативного метода определения стоимости закупки указывается одно из следующих значений :</t>
  </si>
  <si>
    <t>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</t>
  </si>
  <si>
    <t>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</t>
  </si>
  <si>
    <t>В ином случае не заполняется</t>
  </si>
  <si>
    <t>3. Графа "Изменение параметров мероприятия по информатизации" - в случае выбора на титульной странице в графе "Вид плана" параметра "Измененный" или "Итоговый" указывается одно из следующих значений:</t>
  </si>
  <si>
    <t>2. параметры изменялись - выбирается в случае елси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</si>
  <si>
    <t>В остальных случаях значение не выбирается и ячейка остается пустой</t>
  </si>
  <si>
    <t>3. оценка не требуется</t>
  </si>
  <si>
    <t>1. оценка требуется</t>
  </si>
  <si>
    <t>2. требуется повторная оценка</t>
  </si>
  <si>
    <t>5. Графа "Оценка мероприятия по информатизации" - Указывается одно из следующих значений из выпадающего списка:</t>
  </si>
  <si>
    <t>6. Графа "Последовательность включения в план информатизации" - указывается одно из следующих значений из выпадающего списка:</t>
  </si>
  <si>
    <t>«а»</t>
  </si>
  <si>
    <t>«б»</t>
  </si>
  <si>
    <t>«в»</t>
  </si>
  <si>
    <t>«г»</t>
  </si>
  <si>
    <t>Значение указывается при включении мероприятия по информатизации в проект плана информатизации</t>
  </si>
  <si>
    <t>–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</t>
  </si>
  <si>
    <t>–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</t>
  </si>
  <si>
    <t>–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ИКТ</t>
  </si>
  <si>
    <t>– иное мероприятие по информатизации</t>
  </si>
  <si>
    <t>"а"</t>
  </si>
  <si>
    <t>"б"</t>
  </si>
  <si>
    <t>"в"</t>
  </si>
  <si>
    <t>"г"</t>
  </si>
  <si>
    <t>Наименование объекта учета
(вводится вручную в соответствии с документом о вводе в эксплуатацию/о создании/иного документа)</t>
  </si>
  <si>
    <t>Идентификатор объекта учета 
(вводится вручную при наличии системы учета)</t>
  </si>
  <si>
    <t>Уникальный номер мероприятия
(формируется автоматически)</t>
  </si>
  <si>
    <t>Документ-основание
(вводится вручную)</t>
  </si>
  <si>
    <t>Ответственный за реализацию мероприятия 
(Ф.И.О., должность, контактный телефон, электронная почта, вводится вручную)</t>
  </si>
  <si>
    <t>Информация в форме открытых данных
(вводится вручную)</t>
  </si>
  <si>
    <t xml:space="preserve">В случае достижения выделенной границы и необходимости добавления информации, вставить строку выше пограничной строки. </t>
  </si>
  <si>
    <t>При этом все формулы скопируются, за исключением примечанияв графе "Приоритетное направление"</t>
  </si>
  <si>
    <t>Столбец1</t>
  </si>
  <si>
    <t>Столбец2</t>
  </si>
  <si>
    <t>Столбец3</t>
  </si>
  <si>
    <t>Столбец4</t>
  </si>
  <si>
    <t>Столбец5</t>
  </si>
  <si>
    <t>Столбец6</t>
  </si>
  <si>
    <t>Столбец7</t>
  </si>
  <si>
    <t>Наименование мероприятия по информатизации
(выбирается из выпадающего списка, сформированного в разделе 1)</t>
  </si>
  <si>
    <t>Наименование мероприятия по информатизации
(выбирается из выпадающего списка, сформированного в разделе 1)</t>
  </si>
  <si>
    <t>Оценка мероприятия по информатизации
(выбирается из выпадающего списка)</t>
  </si>
  <si>
    <t>Столбец8</t>
  </si>
  <si>
    <t>Столбец9</t>
  </si>
  <si>
    <t>Столбец10</t>
  </si>
  <si>
    <t>Ожидаемый результат</t>
  </si>
  <si>
    <t>При этом все формулы скопируются, за исключением примечанияв графе "Ожидаемый результат"</t>
  </si>
  <si>
    <t xml:space="preserve">Наименование мероприятия по информатизации
(выбирается из выпадающего списка, сформированного в разделе 1)
</t>
  </si>
  <si>
    <t xml:space="preserve">В случае достижения выделенной границы и необходимости добавления информации, </t>
  </si>
  <si>
    <t xml:space="preserve">вставить строку выше пограничной строки. </t>
  </si>
  <si>
    <t>Наименование мероприятия 
по информатизации
(выбирается из выпадающего списка, сформированного в разделе 1)</t>
  </si>
  <si>
    <t>Наименование объекта закупки
(выбирается из выпадающего списка)</t>
  </si>
  <si>
    <t>Цель закупки
(выбирается из выпадающего списка)</t>
  </si>
  <si>
    <t>Сведения об оценке мероприятия по информатизации
(выбирается из выпадающего списка)</t>
  </si>
  <si>
    <t>Изменение параметров мероприятия по информатизации
(выбирается из выпадающего списка)</t>
  </si>
  <si>
    <t>Оценка мерпоириятия по информатизации
(выбирается из выпадающего списка)</t>
  </si>
  <si>
    <t>Финансирование за счет средств областного бюджета (тыс. рублей)*</t>
  </si>
  <si>
    <t>ИТОГО по мероприятиям по информатизации типа создание, соответствующим приоритетным направлениям</t>
  </si>
  <si>
    <t>ИТОГО по иным мероприятиям по информатизации типа создание</t>
  </si>
  <si>
    <t>ИТОГО по мероприятиям по информатизации типа развитие, соответствующим приоритетным направлениям</t>
  </si>
  <si>
    <t>ИТОГО по иным мероприятиям по информатизации типа развитие</t>
  </si>
  <si>
    <t>ИТОГО по мероприятиям по информатизации типа эксплуатация, соответствующим приоритетным направлениям</t>
  </si>
  <si>
    <t>ИТОГО по иным мероприятиям по информатизации типа эксплуатация</t>
  </si>
  <si>
    <t>ИТОГО по мероприятиям по информатизации типа вывод из эксплуатации, соответствующим приоритетным направлениям</t>
  </si>
  <si>
    <t>ИТОГО по иным мероприятиям по информатизации типа вывод из эксплуатации</t>
  </si>
  <si>
    <t>ВСЕГО:</t>
  </si>
  <si>
    <t xml:space="preserve">Использование информационно-коммуникационных технологий для 
оптимизации процедур и повышения качества предоставления 
государственных и муниципальных услуг и исполнения государственных и 
муниципальных функций, в том числе с применением механизмов получения 
от граждан и организаций в электронном виде информации о качестве 
взаимодействия с органами исполнительной власти и органами местного 
самоуправления и подведомственными им учреждениями. </t>
  </si>
  <si>
    <t xml:space="preserve"> Использование типовых информационно-технологических сервисов и 
единой сети передачи данных, а также единого центра обработки данных. </t>
  </si>
  <si>
    <t xml:space="preserve">Использование российских информационно-коммуникационных 
технологий и свободного программного обеспечения. </t>
  </si>
  <si>
    <t xml:space="preserve">Защита информации, содержащейся в государственных и 
информационных системах, и обеспечение информационной безопасности 
при использовании информационно-коммуникационных технологий в 
деятельности органов  исполнительной власти и органов  местного 
самоуправления и подведомственных им учреждений. </t>
  </si>
  <si>
    <t xml:space="preserve">Повышение качества и обеспечение доступности государственных 
информационных ресурсов, в том числе в форме открытых данных. </t>
  </si>
  <si>
    <t xml:space="preserve">в графе "Уникальный номер мероприятия" выбрать номера мероприятий, соответствующих типов и приоритетности (в первом блоке выбираются мероприятия, направленные на создание объектов учета и </t>
  </si>
  <si>
    <t>соответствующие приоритетным направлениям, далее - мероприятия, не являющиеся приоритетными и направленные на создание объектов учета. И так далее, по каждому из типов мероприятий).</t>
  </si>
  <si>
    <t>Остальные значения будут заполняться автоматически при условии правильного заполнения всех разделов плана. В случае появления ошибок типа #Н/Д или #ЗНАЧ - проверить правильность заполнения</t>
  </si>
  <si>
    <t>разделов плана</t>
  </si>
  <si>
    <t>5. Графа "Тип мероприятия" - указывается тип планируемого мероприятия с объектом учета. Выбирается из выпадающего списка одно из следующих значений:</t>
  </si>
  <si>
    <t xml:space="preserve">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</t>
  </si>
  <si>
    <t xml:space="preserve">Использование типовых информационно-технологических сервисов и единой сети передачи данных, а также единого центра обработки данных. </t>
  </si>
  <si>
    <t xml:space="preserve">Использование российских информационно-коммуникационных технологий и свободного программного обеспечения. </t>
  </si>
  <si>
    <t xml:space="preserve">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деятельности органов  исполнительной власти и органов  местного самоуправления и подведомственных им учреждений. </t>
  </si>
  <si>
    <t xml:space="preserve">Повышение качества и обеспечение доступности государственных информационных ресурсов, в том числе в форме открытых данных. </t>
  </si>
  <si>
    <t>8. Графа "Приоритетное направление" - в случае если мероприятие по информатизации относится к приоритетному направлению, то указывается номер приоритетного направления. В противном случае указывается "отсутствует".</t>
  </si>
  <si>
    <t>Раздел 3. Сведения о документах по информатизации (заполняется, если отсутствуют документы-основания)</t>
  </si>
  <si>
    <t>Уникальный номер мероприятия
(выбирается из списка)</t>
  </si>
  <si>
    <t>В случае если  в каком-то из блоков будет недостаточно строк, необходимо перед строкой "Итого…" вставить новую строку и отформатировать ее как строку выше, либо встваить строку между последней и предпоследней строками блока.</t>
  </si>
  <si>
    <t xml:space="preserve">В формах имеются подсказки по заполнению в виде примечаний и комментариев в скобках в наименовании граф. В случае обнаружения ошибок в формулах, Убедительная просьба, формулы самостоятельно </t>
  </si>
  <si>
    <t>Признак подведомсвтенности</t>
  </si>
  <si>
    <t>подведомственный (сводный)</t>
  </si>
  <si>
    <t>4. В графе "Подведомственность" устанавливается признак "подведомсвтенный (сводный)" в случае представления плана информатизации по подведомственным учреждениям.</t>
  </si>
  <si>
    <t>В уполномоченный орган представляется сводный план мероприятий по всем подведомственным учреждениям органа исполнительной власти. В случае если у органа исполнительной власти нет подведомственных</t>
  </si>
  <si>
    <t>учреждений, графа не заполняется.</t>
  </si>
  <si>
    <t>2. В графе "Вид плана" выбирается значение из выпадающего списка. При первом заполнении форм выбирается значение "Предварительный"</t>
  </si>
  <si>
    <t>В случае представления органом исполнительной власти сводного плана по подведомственным учреждениям, в конце уникального номера добавляется буква "П".</t>
  </si>
  <si>
    <t xml:space="preserve">Далее последовательно заполняются остальные формы. </t>
  </si>
  <si>
    <t>5. После заполнения всех форм, необходимо вернуться к титульной странице и сформировать план информатизации:</t>
  </si>
  <si>
    <t>После заполнения всех форм необходимо вернуться к шагу 5 формы "План инф-ции (титул)" и сформировать план информатизации.</t>
  </si>
  <si>
    <t>Вид закупки
(выбирается из выпадающего списка)</t>
  </si>
  <si>
    <t>Последовательность включения в план информатизации
(выбирается из выпадающего списка)</t>
  </si>
  <si>
    <t>Министерство промышленности и энергетики Оренбургской области</t>
  </si>
  <si>
    <t>Минпромэнерго</t>
  </si>
  <si>
    <t>Министерство цифрового развития и связи Оренбургской области</t>
  </si>
  <si>
    <t>Минцифра</t>
  </si>
  <si>
    <t>Инспекция государственной охраны объектов культурного наследия Оренбургской области</t>
  </si>
  <si>
    <t>ИГООКН</t>
  </si>
  <si>
    <t>Комитет по профилактике коррупционных правонарушений Оренбургской области</t>
  </si>
  <si>
    <t>Комитет по ПКП</t>
  </si>
  <si>
    <t>Министерство культуры Оренбургской области</t>
  </si>
  <si>
    <t>Министерство физической культуры и спорта Оренбургской области</t>
  </si>
  <si>
    <t>Министерство сельского хозяйства, торговли, пищевой и перерабатывающей промышленности Оренбургской области</t>
  </si>
  <si>
    <t>Министерство строительства, жилищно-коммунального, дорожного хозяйства и транспорта Оренбургской области</t>
  </si>
  <si>
    <t>Министерство экономического развития, инвестиций, туризма и внешних связей Оренбургской области</t>
  </si>
  <si>
    <t xml:space="preserve">Уважаемые коллеги! Внимательно читаем инструкцию перед началом заполнения плана. </t>
  </si>
  <si>
    <t>Министерство региональной и информационной политики Оренбургской области</t>
  </si>
  <si>
    <t>Мининфо</t>
  </si>
  <si>
    <t>Комитет внутреннего государственного финансового контроля Оренбургской области</t>
  </si>
  <si>
    <t xml:space="preserve">не удалять и не редактировать. </t>
  </si>
  <si>
    <t>Эксплуатация АРМ (Автоматизированное рабочее место)</t>
  </si>
  <si>
    <t>Создание АРМ (Автоматизированное рабочее место)</t>
  </si>
  <si>
    <t>Связь и Интернет</t>
  </si>
  <si>
    <t>Эксплуатация Оргтехника</t>
  </si>
  <si>
    <t>соглашение двух или нескольких лиц об установлении, изменении или прекращении гражданских прав и обязанностей в рамках 44-ФЗ</t>
  </si>
  <si>
    <t>направляется на оценку в УО</t>
  </si>
  <si>
    <t>Эксплуатация Сайт ГБУ "Оренбургский областной бизнес-инкубатор"</t>
  </si>
  <si>
    <t xml:space="preserve">Развитие Компьютерная техника
</t>
  </si>
  <si>
    <t xml:space="preserve">Эксплуатация Компьютерная техника
</t>
  </si>
  <si>
    <t xml:space="preserve">Эксплуатация ПО "СБИС" </t>
  </si>
  <si>
    <t>Развитие Оргтехника</t>
  </si>
  <si>
    <t>Эксплуатация Связь и Интернет</t>
  </si>
  <si>
    <t>Развитие Операционная система</t>
  </si>
  <si>
    <t>Эксплуатация АС "УРМ"</t>
  </si>
  <si>
    <t>Эксплуатация Программные продукты 1С</t>
  </si>
  <si>
    <t>Вывод из эксплуатациии Компьютерное оборудование, оборудование сети передачи данных, хранения данных</t>
  </si>
  <si>
    <t>Эксплуатация Антивирусное ПО</t>
  </si>
  <si>
    <t>Эксплуатация ПО "Консультант плюс"</t>
  </si>
  <si>
    <t>оценка не производилась</t>
  </si>
  <si>
    <t xml:space="preserve"> </t>
  </si>
  <si>
    <t>Техническое обслуживание и закупка расходных материалов позволят предотвратить поломки и продлить срок службы оргтехники в …..</t>
  </si>
  <si>
    <t>на 2023 финансовый год и плановый период 2024-2025 годов</t>
  </si>
  <si>
    <t>на 2023 год и плановый период 2024 - 2025 годов</t>
  </si>
  <si>
    <t>ВЫБЕРИТЕ ИЗ СПИСКА</t>
  </si>
  <si>
    <t>Министерство архитектуры и пространственно-градостроительного развития Оренбургской области</t>
  </si>
  <si>
    <t>МинАрхипгр</t>
  </si>
  <si>
    <t>Оргтехника</t>
  </si>
  <si>
    <t>Программное обеспечение</t>
  </si>
  <si>
    <t>Антивирусное программное обеспечение</t>
  </si>
  <si>
    <t>Постановление Правительства Оренбургской области от 29.12.2018 № 915-пп «Об утверждении государственной программы «Развитие культуры Оренбургской области» на 2019–2024 годы»"; основное мероприятие 1.4 "Развитие архивного дела"</t>
  </si>
  <si>
    <t>Вориводин Роман Владимирович, системный администратор, 8(3532)775945, ogaoo@mail.orb.ru</t>
  </si>
  <si>
    <t>Эксплуатация Программное обеспечение</t>
  </si>
  <si>
    <t>Очередной 
(текущий) год 2023</t>
  </si>
  <si>
    <t>Второй год 
планового периода 2025</t>
  </si>
  <si>
    <t>У1</t>
  </si>
  <si>
    <t xml:space="preserve">ГБУ "Объединенный государственный архив Оренбургской области" </t>
  </si>
  <si>
    <t>Услуги внутризоновой, междугородной и международной телефонной связи (Вложенный код выделить не удалось, так как в предоставляемую услугу входят как местные, так и междугородние/международные соединения. По ОКПД 2 - 61.10.11.110 "Услуги по предоставлению внутризоновых, междугородных и международных телефонных соединений")</t>
  </si>
  <si>
    <t>64.20.12</t>
  </si>
  <si>
    <t>п.3 ст.13 
Федерального закона от 05.04.2013 N 44-ФЗ (ред. от 07.06.2017) "О контрактной системе в сфере закупок товаров, работ, услуг для обеспечения государственных и муниципальных нужд"</t>
  </si>
  <si>
    <t>Тарифный метод</t>
  </si>
  <si>
    <t>План-график на 2023 год не формировался.</t>
  </si>
  <si>
    <t>У2</t>
  </si>
  <si>
    <t>Услуги по техническому обслуживанию и ремонту офисных машин Эта группировка включает: - услуги по техническому обслуживанию и ремонту офисных машин и оборудования, включая фотокопировальные машины</t>
  </si>
  <si>
    <t>72.50.11.000</t>
  </si>
  <si>
    <t>У3</t>
  </si>
  <si>
    <t>Обеспечение программное</t>
  </si>
  <si>
    <t>72.21.11.000</t>
  </si>
  <si>
    <t>метод сопоставимых рыночных цен (анализа рынка)</t>
  </si>
  <si>
    <t>АРМ, оборудование для ЛВС</t>
  </si>
  <si>
    <t>У5</t>
  </si>
  <si>
    <t>Услуги, связанные с использованием вычислительной техники и информационных технологий, прочие</t>
  </si>
  <si>
    <t>72.60.10.000</t>
  </si>
  <si>
    <t>Создание АРМ, оборудование для ЛВС</t>
  </si>
  <si>
    <t>У6</t>
  </si>
  <si>
    <t>У7</t>
  </si>
  <si>
    <t>от "24" января 2023  года</t>
  </si>
  <si>
    <t>Первый год 
планового периода 2024</t>
  </si>
  <si>
    <t>232561217684256120100100040006110244</t>
  </si>
  <si>
    <t>232561217684256120100100010000000244</t>
  </si>
  <si>
    <t>Государственная информационная система "Архивы Оренбургской области"</t>
  </si>
  <si>
    <t xml:space="preserve">COM-система, проявочная машина Unomat с расходными материалами </t>
  </si>
  <si>
    <t>Эксплуатация Государственная информационная система "Архивы Оренбургской области"</t>
  </si>
  <si>
    <t xml:space="preserve">Создание COM-система, проявочная машина Unomat с расходными материалами </t>
  </si>
  <si>
    <t>818.С.006П</t>
  </si>
  <si>
    <t>818.С.007П</t>
  </si>
  <si>
    <t>818.Э.005П</t>
  </si>
  <si>
    <t>818.Э.001П</t>
  </si>
  <si>
    <t>818.Э.002П</t>
  </si>
  <si>
    <t>818.Э.003П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</si>
</sst>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\ _₽"/>
    <numFmt numFmtId="165" formatCode="#,##0.0\ _₽;\-#,##0.0\ _₽"/>
    <numFmt numFmtId="166" formatCode="#,##0.0"/>
    <numFmt numFmtId="167" formatCode="#,##0.00\ _₽"/>
  </numFmts>
  <fonts count="22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7030A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sz val="11"/>
      <color theme="5" tint="-0.249977111117893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333333"/>
      <name val="Arial"/>
      <family val="2"/>
      <charset val="204"/>
    </font>
    <font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23">
    <xf numFmtId="0" fontId="0" fillId="0" borderId="0" xfId="0"/>
    <xf numFmtId="0" fontId="0" fillId="0" borderId="0" xfId="0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" xfId="0" applyBorder="1"/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3" xfId="0" applyBorder="1"/>
    <xf numFmtId="0" fontId="0" fillId="0" borderId="0" xfId="0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" xfId="0" applyBorder="1" applyAlignment="1">
      <alignment vertical="top"/>
    </xf>
    <xf numFmtId="0" fontId="0" fillId="0" borderId="0" xfId="0" applyAlignment="1">
      <alignment horizontal="left" vertical="top" wrapText="1"/>
    </xf>
    <xf numFmtId="0" fontId="5" fillId="0" borderId="0" xfId="0" applyFont="1"/>
    <xf numFmtId="49" fontId="0" fillId="0" borderId="0" xfId="0" applyNumberFormat="1"/>
    <xf numFmtId="49" fontId="0" fillId="0" borderId="0" xfId="0" applyNumberFormat="1" applyAlignment="1">
      <alignment horizontal="center" vertical="top" wrapText="1"/>
    </xf>
    <xf numFmtId="0" fontId="0" fillId="2" borderId="0" xfId="0" applyFill="1" applyAlignment="1">
      <alignment vertical="top"/>
    </xf>
    <xf numFmtId="0" fontId="4" fillId="0" borderId="0" xfId="0" applyFont="1"/>
    <xf numFmtId="0" fontId="8" fillId="0" borderId="0" xfId="0" applyFont="1"/>
    <xf numFmtId="0" fontId="9" fillId="0" borderId="0" xfId="0" applyFont="1"/>
    <xf numFmtId="0" fontId="7" fillId="0" borderId="0" xfId="0" applyFont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right"/>
    </xf>
    <xf numFmtId="0" fontId="0" fillId="4" borderId="4" xfId="0" applyFill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0" fillId="2" borderId="0" xfId="0" applyFill="1" applyAlignment="1">
      <alignment horizontal="center" vertical="top" wrapText="1"/>
    </xf>
    <xf numFmtId="0" fontId="0" fillId="2" borderId="0" xfId="0" applyFill="1" applyAlignment="1">
      <alignment horizontal="center" vertical="top"/>
    </xf>
    <xf numFmtId="0" fontId="10" fillId="0" borderId="0" xfId="0" applyFont="1" applyAlignment="1">
      <alignment vertical="top"/>
    </xf>
    <xf numFmtId="0" fontId="0" fillId="2" borderId="0" xfId="0" applyFill="1" applyAlignment="1">
      <alignment wrapText="1"/>
    </xf>
    <xf numFmtId="0" fontId="0" fillId="0" borderId="10" xfId="0" applyBorder="1" applyAlignment="1">
      <alignment horizontal="left" vertical="top" wrapText="1"/>
    </xf>
    <xf numFmtId="9" fontId="0" fillId="0" borderId="11" xfId="1" applyFont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 wrapText="1"/>
    </xf>
    <xf numFmtId="0" fontId="7" fillId="2" borderId="13" xfId="0" applyFont="1" applyFill="1" applyBorder="1" applyAlignment="1">
      <alignment horizontal="left" vertical="top" wrapText="1"/>
    </xf>
    <xf numFmtId="0" fontId="0" fillId="2" borderId="13" xfId="0" applyFill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164" fontId="0" fillId="0" borderId="0" xfId="0" applyNumberFormat="1" applyAlignment="1">
      <alignment horizontal="center" vertical="top" wrapText="1"/>
    </xf>
    <xf numFmtId="164" fontId="0" fillId="0" borderId="11" xfId="0" applyNumberFormat="1" applyBorder="1" applyAlignment="1">
      <alignment horizontal="center" vertical="top" wrapText="1"/>
    </xf>
    <xf numFmtId="0" fontId="0" fillId="3" borderId="23" xfId="0" applyFill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3" borderId="24" xfId="0" applyFill="1" applyBorder="1" applyAlignment="1">
      <alignment horizontal="center" vertical="top" wrapText="1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vertical="top" wrapText="1"/>
    </xf>
    <xf numFmtId="0" fontId="0" fillId="4" borderId="1" xfId="0" applyFill="1" applyBorder="1"/>
    <xf numFmtId="165" fontId="0" fillId="4" borderId="1" xfId="0" applyNumberFormat="1" applyFill="1" applyBorder="1"/>
    <xf numFmtId="0" fontId="0" fillId="4" borderId="1" xfId="0" applyFill="1" applyBorder="1" applyAlignment="1">
      <alignment horizontal="center" vertical="top"/>
    </xf>
    <xf numFmtId="165" fontId="0" fillId="0" borderId="1" xfId="0" applyNumberFormat="1" applyBorder="1"/>
    <xf numFmtId="0" fontId="0" fillId="4" borderId="19" xfId="0" applyFill="1" applyBorder="1"/>
    <xf numFmtId="0" fontId="0" fillId="4" borderId="3" xfId="0" applyFill="1" applyBorder="1"/>
    <xf numFmtId="0" fontId="11" fillId="0" borderId="0" xfId="0" applyFont="1"/>
    <xf numFmtId="0" fontId="0" fillId="4" borderId="37" xfId="0" applyFill="1" applyBorder="1"/>
    <xf numFmtId="165" fontId="0" fillId="4" borderId="37" xfId="0" applyNumberFormat="1" applyFill="1" applyBorder="1"/>
    <xf numFmtId="165" fontId="0" fillId="0" borderId="37" xfId="0" applyNumberFormat="1" applyBorder="1"/>
    <xf numFmtId="0" fontId="0" fillId="0" borderId="37" xfId="0" applyBorder="1"/>
    <xf numFmtId="0" fontId="0" fillId="0" borderId="36" xfId="0" applyBorder="1"/>
    <xf numFmtId="0" fontId="0" fillId="7" borderId="0" xfId="0" applyFill="1"/>
    <xf numFmtId="49" fontId="0" fillId="0" borderId="0" xfId="0" applyNumberFormat="1" applyAlignment="1">
      <alignment vertical="top" wrapText="1"/>
    </xf>
    <xf numFmtId="0" fontId="0" fillId="5" borderId="0" xfId="0" applyFill="1" applyAlignment="1">
      <alignment wrapText="1"/>
    </xf>
    <xf numFmtId="0" fontId="0" fillId="0" borderId="0" xfId="0" applyProtection="1"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center"/>
    </xf>
    <xf numFmtId="9" fontId="0" fillId="2" borderId="14" xfId="1" applyFont="1" applyFill="1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0" fontId="0" fillId="0" borderId="4" xfId="0" applyBorder="1"/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top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3" fillId="0" borderId="1" xfId="0" applyFont="1" applyBorder="1" applyAlignment="1" applyProtection="1">
      <alignment horizontal="left" vertical="center" wrapText="1"/>
      <protection locked="0" hidden="1"/>
    </xf>
    <xf numFmtId="0" fontId="13" fillId="0" borderId="1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1" xfId="0" applyFont="1" applyBorder="1" applyAlignment="1">
      <alignment vertical="top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15" fillId="0" borderId="0" xfId="0" applyFont="1"/>
    <xf numFmtId="0" fontId="13" fillId="0" borderId="0" xfId="0" applyFont="1"/>
    <xf numFmtId="0" fontId="13" fillId="3" borderId="15" xfId="0" applyFont="1" applyFill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5" borderId="8" xfId="0" applyFont="1" applyFill="1" applyBorder="1" applyAlignment="1">
      <alignment horizontal="center" wrapText="1"/>
    </xf>
    <xf numFmtId="0" fontId="13" fillId="0" borderId="16" xfId="0" applyFont="1" applyBorder="1" applyAlignment="1">
      <alignment horizontal="center" vertical="top" wrapText="1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2" borderId="5" xfId="0" applyFont="1" applyFill="1" applyBorder="1" applyAlignment="1">
      <alignment horizontal="center" vertical="top" wrapText="1"/>
    </xf>
    <xf numFmtId="0" fontId="13" fillId="5" borderId="5" xfId="0" applyFont="1" applyFill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left" vertical="top" wrapText="1"/>
    </xf>
    <xf numFmtId="9" fontId="13" fillId="0" borderId="11" xfId="1" applyFont="1" applyBorder="1" applyAlignment="1">
      <alignment horizontal="left" vertical="top" wrapText="1"/>
    </xf>
    <xf numFmtId="16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top" wrapText="1"/>
    </xf>
    <xf numFmtId="164" fontId="13" fillId="0" borderId="1" xfId="0" applyNumberFormat="1" applyFont="1" applyBorder="1" applyAlignment="1">
      <alignment horizontal="center" vertical="top" wrapText="1"/>
    </xf>
    <xf numFmtId="0" fontId="13" fillId="0" borderId="0" xfId="0" applyFont="1" applyAlignment="1">
      <alignment vertical="top" wrapText="1"/>
    </xf>
    <xf numFmtId="0" fontId="13" fillId="0" borderId="30" xfId="0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164" fontId="13" fillId="0" borderId="0" xfId="0" applyNumberFormat="1" applyFont="1" applyAlignment="1">
      <alignment horizontal="center" vertical="top" wrapText="1"/>
    </xf>
    <xf numFmtId="164" fontId="13" fillId="0" borderId="1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3" fillId="3" borderId="17" xfId="0" applyFont="1" applyFill="1" applyBorder="1" applyAlignment="1">
      <alignment horizontal="center" vertical="top" wrapText="1"/>
    </xf>
    <xf numFmtId="0" fontId="13" fillId="3" borderId="5" xfId="0" applyFont="1" applyFill="1" applyBorder="1" applyAlignment="1">
      <alignment horizontal="center" vertical="top" wrapText="1"/>
    </xf>
    <xf numFmtId="0" fontId="13" fillId="3" borderId="18" xfId="0" applyFont="1" applyFill="1" applyBorder="1" applyAlignment="1">
      <alignment horizontal="center" vertical="top" wrapText="1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13" fillId="0" borderId="1" xfId="0" applyFont="1" applyBorder="1" applyProtection="1">
      <protection locked="0"/>
    </xf>
    <xf numFmtId="0" fontId="13" fillId="2" borderId="1" xfId="0" applyFont="1" applyFill="1" applyBorder="1" applyProtection="1">
      <protection locked="0"/>
    </xf>
    <xf numFmtId="0" fontId="13" fillId="0" borderId="1" xfId="0" applyFont="1" applyBorder="1" applyAlignment="1" applyProtection="1">
      <alignment wrapText="1"/>
      <protection locked="0"/>
    </xf>
    <xf numFmtId="0" fontId="13" fillId="5" borderId="4" xfId="0" applyFont="1" applyFill="1" applyBorder="1" applyAlignment="1" applyProtection="1">
      <alignment horizontal="center" vertical="top" wrapText="1"/>
      <protection locked="0"/>
    </xf>
    <xf numFmtId="0" fontId="13" fillId="0" borderId="10" xfId="0" applyFont="1" applyBorder="1" applyProtection="1">
      <protection locked="0" hidden="1"/>
    </xf>
    <xf numFmtId="0" fontId="13" fillId="0" borderId="0" xfId="0" applyFont="1" applyProtection="1">
      <protection locked="0" hidden="1"/>
    </xf>
    <xf numFmtId="0" fontId="13" fillId="0" borderId="0" xfId="0" applyFont="1" applyAlignment="1" applyProtection="1">
      <alignment wrapText="1"/>
      <protection locked="0" hidden="1"/>
    </xf>
    <xf numFmtId="164" fontId="13" fillId="0" borderId="0" xfId="0" applyNumberFormat="1" applyFont="1" applyAlignment="1" applyProtection="1">
      <alignment horizontal="center" vertical="top"/>
      <protection locked="0" hidden="1"/>
    </xf>
    <xf numFmtId="0" fontId="13" fillId="0" borderId="11" xfId="0" applyFont="1" applyBorder="1" applyAlignment="1" applyProtection="1">
      <alignment wrapText="1"/>
      <protection locked="0" hidden="1"/>
    </xf>
    <xf numFmtId="164" fontId="17" fillId="6" borderId="32" xfId="0" applyNumberFormat="1" applyFont="1" applyFill="1" applyBorder="1" applyAlignment="1" applyProtection="1">
      <alignment horizontal="center" vertical="top"/>
      <protection locked="0" hidden="1"/>
    </xf>
    <xf numFmtId="0" fontId="13" fillId="6" borderId="0" xfId="0" applyFont="1" applyFill="1" applyAlignment="1" applyProtection="1">
      <alignment wrapText="1"/>
      <protection locked="0" hidden="1"/>
    </xf>
    <xf numFmtId="0" fontId="13" fillId="6" borderId="0" xfId="0" applyFont="1" applyFill="1" applyProtection="1">
      <protection locked="0" hidden="1"/>
    </xf>
    <xf numFmtId="0" fontId="13" fillId="6" borderId="11" xfId="0" applyFont="1" applyFill="1" applyBorder="1" applyProtection="1">
      <protection locked="0" hidden="1"/>
    </xf>
    <xf numFmtId="166" fontId="17" fillId="0" borderId="13" xfId="0" applyNumberFormat="1" applyFont="1" applyBorder="1" applyAlignment="1" applyProtection="1">
      <alignment horizontal="center"/>
      <protection locked="0" hidden="1"/>
    </xf>
    <xf numFmtId="0" fontId="13" fillId="0" borderId="13" xfId="0" applyFont="1" applyBorder="1" applyAlignment="1" applyProtection="1">
      <alignment wrapText="1"/>
      <protection locked="0" hidden="1"/>
    </xf>
    <xf numFmtId="0" fontId="13" fillId="0" borderId="13" xfId="0" applyFont="1" applyBorder="1" applyProtection="1">
      <protection locked="0" hidden="1"/>
    </xf>
    <xf numFmtId="0" fontId="13" fillId="0" borderId="14" xfId="0" applyFont="1" applyBorder="1" applyAlignment="1" applyProtection="1">
      <alignment wrapText="1"/>
      <protection locked="0" hidden="1"/>
    </xf>
    <xf numFmtId="0" fontId="13" fillId="0" borderId="10" xfId="0" applyFont="1" applyBorder="1" applyAlignment="1" applyProtection="1">
      <alignment horizontal="center" vertical="center"/>
      <protection locked="0" hidden="1"/>
    </xf>
    <xf numFmtId="0" fontId="13" fillId="0" borderId="0" xfId="0" applyFont="1" applyAlignment="1" applyProtection="1">
      <alignment horizontal="center" vertical="center"/>
      <protection locked="0" hidden="1"/>
    </xf>
    <xf numFmtId="0" fontId="13" fillId="0" borderId="0" xfId="0" applyFont="1" applyAlignment="1" applyProtection="1">
      <alignment horizontal="center" vertical="center" wrapText="1"/>
      <protection locked="0" hidden="1"/>
    </xf>
    <xf numFmtId="164" fontId="13" fillId="0" borderId="0" xfId="0" applyNumberFormat="1" applyFont="1" applyAlignment="1" applyProtection="1">
      <alignment horizontal="center" vertical="center"/>
      <protection locked="0" hidden="1"/>
    </xf>
    <xf numFmtId="0" fontId="13" fillId="0" borderId="11" xfId="0" applyFont="1" applyBorder="1" applyAlignment="1" applyProtection="1">
      <alignment horizontal="center" vertical="center" wrapText="1"/>
      <protection locked="0" hidden="1"/>
    </xf>
    <xf numFmtId="0" fontId="0" fillId="0" borderId="0" xfId="0" applyAlignment="1" applyProtection="1">
      <alignment horizontal="center" vertical="center"/>
      <protection locked="0"/>
    </xf>
    <xf numFmtId="164" fontId="17" fillId="6" borderId="32" xfId="0" applyNumberFormat="1" applyFont="1" applyFill="1" applyBorder="1" applyAlignment="1" applyProtection="1">
      <alignment horizontal="center" vertical="center"/>
      <protection locked="0" hidden="1"/>
    </xf>
    <xf numFmtId="0" fontId="13" fillId="6" borderId="0" xfId="0" applyFont="1" applyFill="1" applyAlignment="1" applyProtection="1">
      <alignment horizontal="center" vertical="center" wrapText="1"/>
      <protection locked="0" hidden="1"/>
    </xf>
    <xf numFmtId="0" fontId="13" fillId="6" borderId="0" xfId="0" applyFont="1" applyFill="1" applyAlignment="1" applyProtection="1">
      <alignment horizontal="center" vertical="center"/>
      <protection locked="0" hidden="1"/>
    </xf>
    <xf numFmtId="0" fontId="13" fillId="6" borderId="11" xfId="0" applyFont="1" applyFill="1" applyBorder="1" applyAlignment="1" applyProtection="1">
      <alignment horizontal="center" vertical="center"/>
      <protection locked="0" hidden="1"/>
    </xf>
    <xf numFmtId="0" fontId="13" fillId="0" borderId="1" xfId="0" applyFont="1" applyBorder="1" applyAlignment="1" applyProtection="1">
      <alignment horizontal="center" vertical="center"/>
      <protection locked="0" hidden="1"/>
    </xf>
    <xf numFmtId="0" fontId="13" fillId="0" borderId="1" xfId="0" applyFont="1" applyBorder="1" applyAlignment="1" applyProtection="1">
      <alignment horizontal="center" vertical="center" wrapText="1"/>
      <protection locked="0" hidden="1"/>
    </xf>
    <xf numFmtId="164" fontId="13" fillId="0" borderId="1" xfId="0" applyNumberFormat="1" applyFont="1" applyBorder="1" applyAlignment="1" applyProtection="1">
      <alignment horizontal="center" vertical="center"/>
      <protection locked="0" hidden="1"/>
    </xf>
    <xf numFmtId="164" fontId="17" fillId="6" borderId="1" xfId="0" applyNumberFormat="1" applyFont="1" applyFill="1" applyBorder="1" applyAlignment="1" applyProtection="1">
      <alignment horizontal="center" vertical="center"/>
      <protection locked="0" hidden="1"/>
    </xf>
    <xf numFmtId="0" fontId="13" fillId="6" borderId="1" xfId="0" applyFont="1" applyFill="1" applyBorder="1" applyAlignment="1" applyProtection="1">
      <alignment horizontal="center" vertical="center" wrapText="1"/>
      <protection locked="0" hidden="1"/>
    </xf>
    <xf numFmtId="0" fontId="13" fillId="6" borderId="1" xfId="0" applyFont="1" applyFill="1" applyBorder="1" applyAlignment="1" applyProtection="1">
      <alignment horizontal="center" vertical="center"/>
      <protection locked="0" hidden="1"/>
    </xf>
    <xf numFmtId="0" fontId="13" fillId="0" borderId="19" xfId="0" applyFont="1" applyBorder="1" applyAlignment="1">
      <alignment horizontal="center" vertical="center" wrapText="1"/>
    </xf>
    <xf numFmtId="0" fontId="13" fillId="5" borderId="0" xfId="0" applyFont="1" applyFill="1" applyAlignment="1">
      <alignment vertical="top"/>
    </xf>
    <xf numFmtId="0" fontId="13" fillId="0" borderId="0" xfId="0" applyFont="1" applyAlignment="1">
      <alignment horizontal="center" vertical="top"/>
    </xf>
    <xf numFmtId="49" fontId="13" fillId="0" borderId="0" xfId="0" applyNumberFormat="1" applyFont="1" applyAlignment="1">
      <alignment vertical="top" wrapText="1"/>
    </xf>
    <xf numFmtId="0" fontId="19" fillId="9" borderId="38" xfId="0" applyFont="1" applyFill="1" applyBorder="1" applyAlignment="1">
      <alignment vertical="top" wrapText="1"/>
    </xf>
    <xf numFmtId="0" fontId="19" fillId="0" borderId="0" xfId="0" applyFont="1" applyAlignment="1">
      <alignment vertical="top"/>
    </xf>
    <xf numFmtId="1" fontId="20" fillId="0" borderId="1" xfId="0" applyNumberFormat="1" applyFont="1" applyBorder="1" applyAlignment="1">
      <alignment horizontal="left" vertical="top"/>
    </xf>
    <xf numFmtId="164" fontId="13" fillId="0" borderId="4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 horizontal="center" vertical="top" wrapText="1"/>
    </xf>
    <xf numFmtId="1" fontId="20" fillId="0" borderId="1" xfId="0" quotePrefix="1" applyNumberFormat="1" applyFont="1" applyBorder="1" applyAlignment="1">
      <alignment horizontal="left" vertical="top"/>
    </xf>
    <xf numFmtId="2" fontId="0" fillId="0" borderId="0" xfId="0" applyNumberFormat="1" applyAlignment="1">
      <alignment horizontal="center" vertical="top" wrapText="1"/>
    </xf>
    <xf numFmtId="167" fontId="0" fillId="0" borderId="0" xfId="0" applyNumberForma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2" fillId="0" borderId="0" xfId="0" applyFont="1" applyAlignment="1">
      <alignment vertical="center"/>
    </xf>
    <xf numFmtId="0" fontId="0" fillId="4" borderId="1" xfId="0" applyFill="1" applyBorder="1" applyAlignment="1">
      <alignment horizontal="center" vertical="top" wrapText="1"/>
    </xf>
    <xf numFmtId="0" fontId="0" fillId="4" borderId="4" xfId="0" applyFill="1" applyBorder="1" applyAlignment="1">
      <alignment horizontal="center" vertical="top" wrapText="1"/>
    </xf>
    <xf numFmtId="0" fontId="0" fillId="4" borderId="6" xfId="0" applyFill="1" applyBorder="1" applyAlignment="1">
      <alignment horizontal="center" vertical="top" wrapText="1"/>
    </xf>
    <xf numFmtId="0" fontId="13" fillId="6" borderId="1" xfId="0" applyFont="1" applyFill="1" applyBorder="1" applyAlignment="1" applyProtection="1">
      <alignment horizontal="center" vertical="center" wrapText="1"/>
      <protection locked="0" hidden="1"/>
    </xf>
    <xf numFmtId="0" fontId="13" fillId="5" borderId="9" xfId="0" applyFont="1" applyFill="1" applyBorder="1" applyAlignment="1" applyProtection="1">
      <alignment horizontal="center" vertical="top" wrapText="1"/>
      <protection locked="0"/>
    </xf>
    <xf numFmtId="0" fontId="13" fillId="5" borderId="30" xfId="0" applyFont="1" applyFill="1" applyBorder="1" applyAlignment="1" applyProtection="1">
      <alignment horizontal="center" vertical="top" wrapText="1"/>
      <protection locked="0"/>
    </xf>
    <xf numFmtId="0" fontId="13" fillId="5" borderId="21" xfId="0" applyFont="1" applyFill="1" applyBorder="1" applyAlignment="1" applyProtection="1">
      <alignment horizontal="center" vertical="top" wrapText="1"/>
      <protection locked="0"/>
    </xf>
    <xf numFmtId="0" fontId="13" fillId="5" borderId="8" xfId="0" applyFont="1" applyFill="1" applyBorder="1" applyAlignment="1" applyProtection="1">
      <alignment horizontal="center" vertical="top" wrapText="1"/>
      <protection locked="0"/>
    </xf>
    <xf numFmtId="0" fontId="13" fillId="5" borderId="1" xfId="0" applyFont="1" applyFill="1" applyBorder="1" applyAlignment="1" applyProtection="1">
      <alignment horizontal="center" vertical="top" wrapText="1"/>
      <protection locked="0"/>
    </xf>
    <xf numFmtId="0" fontId="13" fillId="5" borderId="4" xfId="0" applyFont="1" applyFill="1" applyBorder="1" applyAlignment="1" applyProtection="1">
      <alignment horizontal="center" vertical="top" wrapText="1"/>
      <protection locked="0"/>
    </xf>
    <xf numFmtId="0" fontId="13" fillId="2" borderId="7" xfId="0" applyFont="1" applyFill="1" applyBorder="1" applyAlignment="1" applyProtection="1">
      <alignment horizontal="center" vertical="top" wrapText="1"/>
      <protection locked="0"/>
    </xf>
    <xf numFmtId="0" fontId="13" fillId="2" borderId="35" xfId="0" applyFont="1" applyFill="1" applyBorder="1" applyAlignment="1" applyProtection="1">
      <alignment horizontal="center" vertical="top" wrapText="1"/>
      <protection locked="0"/>
    </xf>
    <xf numFmtId="0" fontId="13" fillId="2" borderId="20" xfId="0" applyFont="1" applyFill="1" applyBorder="1" applyAlignment="1" applyProtection="1">
      <alignment horizontal="center" vertical="top" wrapText="1"/>
      <protection locked="0"/>
    </xf>
    <xf numFmtId="0" fontId="13" fillId="2" borderId="1" xfId="0" applyFont="1" applyFill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14" fontId="13" fillId="2" borderId="1" xfId="0" applyNumberFormat="1" applyFont="1" applyFill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13" fillId="2" borderId="2" xfId="0" applyFont="1" applyFill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 vertical="top"/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6" borderId="31" xfId="0" applyFont="1" applyFill="1" applyBorder="1" applyAlignment="1" applyProtection="1">
      <alignment horizontal="center" vertical="center" wrapText="1"/>
      <protection locked="0" hidden="1"/>
    </xf>
    <xf numFmtId="0" fontId="13" fillId="6" borderId="32" xfId="0" applyFont="1" applyFill="1" applyBorder="1" applyAlignment="1" applyProtection="1">
      <alignment horizontal="center" vertical="center" wrapText="1"/>
      <protection locked="0" hidden="1"/>
    </xf>
    <xf numFmtId="0" fontId="13" fillId="6" borderId="31" xfId="0" applyFont="1" applyFill="1" applyBorder="1" applyAlignment="1" applyProtection="1">
      <alignment horizontal="left" vertical="top" wrapText="1"/>
      <protection locked="0" hidden="1"/>
    </xf>
    <xf numFmtId="0" fontId="13" fillId="6" borderId="32" xfId="0" applyFont="1" applyFill="1" applyBorder="1" applyAlignment="1" applyProtection="1">
      <alignment horizontal="left" vertical="top" wrapText="1"/>
      <protection locked="0" hidden="1"/>
    </xf>
    <xf numFmtId="0" fontId="17" fillId="0" borderId="33" xfId="0" applyFont="1" applyBorder="1" applyAlignment="1" applyProtection="1">
      <alignment horizontal="right"/>
      <protection locked="0" hidden="1"/>
    </xf>
    <xf numFmtId="0" fontId="17" fillId="0" borderId="34" xfId="0" applyFont="1" applyBorder="1" applyAlignment="1" applyProtection="1">
      <alignment horizontal="right"/>
      <protection locked="0" hidden="1"/>
    </xf>
    <xf numFmtId="0" fontId="17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left" vertical="top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2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13" fillId="0" borderId="28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3" fillId="3" borderId="23" xfId="0" applyFont="1" applyFill="1" applyBorder="1" applyAlignment="1">
      <alignment horizontal="center" vertical="top" wrapText="1"/>
    </xf>
    <xf numFmtId="0" fontId="13" fillId="3" borderId="29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2">
    <cellStyle name="Обычный" xfId="0" builtinId="0"/>
    <cellStyle name="Процентный" xfId="1" builtinId="5"/>
  </cellStyles>
  <dxfs count="316">
    <dxf>
      <alignment horizontal="center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top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/>
        <top/>
        <bottom/>
        <vertical style="thin">
          <color auto="1"/>
        </vertical>
        <horizontal/>
      </border>
    </dxf>
    <dxf>
      <numFmt numFmtId="164" formatCode="#,##0.0\ _₽"/>
      <alignment horizontal="center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numFmt numFmtId="164" formatCode="#,##0.0\ _₽"/>
      <alignment horizontal="center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numFmt numFmtId="164" formatCode="#,##0.0\ _₽"/>
      <alignment horizontal="center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  <border diagonalUp="0" diagonalDown="0">
        <left/>
        <right style="thin">
          <color auto="1"/>
        </right>
        <top/>
        <bottom/>
        <vertical style="thin">
          <color auto="1"/>
        </vertical>
        <horizontal/>
      </border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64" formatCode="#,##0.0\ _₽"/>
      <alignment horizontal="center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/>
        <top/>
        <bottom/>
        <vertical style="thin">
          <color auto="1"/>
        </vertical>
        <horizontal/>
      </border>
    </dxf>
    <dxf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alignment horizontal="left" vertical="top" textRotation="0" wrapText="1" indent="0" justifyLastLine="0" shrinkToFit="0" readingOrder="0"/>
      <border diagonalUp="0" diagonalDown="0">
        <left/>
        <right style="thin">
          <color auto="1"/>
        </right>
        <top/>
        <bottom/>
        <vertical style="thin">
          <color auto="1"/>
        </vertical>
        <horizontal/>
      </border>
    </dxf>
    <dxf>
      <border outline="0">
        <top style="thin">
          <color indexed="64"/>
        </top>
      </border>
    </dxf>
    <dxf>
      <alignment horizontal="left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left" vertical="top" textRotation="0" wrapText="1" indent="0" justifyLastLine="0" shrinkToFit="0" readingOrder="0"/>
    </dxf>
    <dxf>
      <border outline="0"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ill>
        <patternFill>
          <fgColor indexed="64"/>
          <bgColor theme="0" tint="-0.14999847407452621"/>
        </patternFill>
      </fill>
    </dxf>
    <dxf>
      <fill>
        <patternFill patternType="solid">
          <fgColor indexed="64"/>
          <bgColor theme="0" tint="-4.9989318521683403E-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fill>
        <patternFill patternType="solid">
          <fgColor indexed="64"/>
          <bgColor theme="9" tint="0.79998168889431442"/>
        </patternFill>
      </fill>
      <alignment horizontal="center" vertical="top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top" textRotation="0" wrapText="0" indent="0" justifyLastLine="0" shrinkToFit="0" readingOrder="0"/>
    </dxf>
    <dxf>
      <numFmt numFmtId="0" formatCode="General"/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numFmt numFmtId="0" formatCode="General"/>
      <alignment horizontal="general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top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textRotation="0" wrapText="1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top" textRotation="0" wrapText="0" indent="0" justifyLastLine="0" shrinkToFit="0" readingOrder="0"/>
      <protection locked="0" hidden="1"/>
    </dxf>
    <dxf>
      <numFmt numFmtId="164" formatCode="#,##0.0\ _₽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top" textRotation="0" wrapText="0" indent="0" justifyLastLine="0" shrinkToFit="0" readingOrder="0"/>
      <protection locked="0" hidden="1"/>
    </dxf>
    <dxf>
      <numFmt numFmtId="164" formatCode="#,##0.0\ _₽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top" textRotation="0" wrapText="0" indent="0" justifyLastLine="0" shrinkToFit="0" readingOrder="0"/>
      <protection locked="0" hidden="1"/>
    </dxf>
    <dxf>
      <numFmt numFmtId="164" formatCode="#,##0.0\ _₽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medium">
          <color indexed="64"/>
        </left>
        <right/>
        <top/>
        <bottom/>
      </border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center" textRotation="0" wrapText="0" indent="0" justifyLastLine="0" shrinkToFit="0" readingOrder="0"/>
      <protection locked="0" hidden="1"/>
    </dxf>
    <dxf>
      <numFmt numFmtId="164" formatCode="#,##0.0\ _₽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center" textRotation="0" wrapText="0" indent="0" justifyLastLine="0" shrinkToFit="0" readingOrder="0"/>
      <protection locked="0" hidden="1"/>
    </dxf>
    <dxf>
      <numFmt numFmtId="164" formatCode="#,##0.0\ _₽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center" textRotation="0" wrapText="0" indent="0" justifyLastLine="0" shrinkToFit="0" readingOrder="0"/>
      <protection locked="0" hidden="1"/>
    </dxf>
    <dxf>
      <numFmt numFmtId="164" formatCode="#,##0.0\ _₽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medium">
          <color indexed="64"/>
        </left>
        <right/>
        <top/>
        <bottom/>
      </border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center" textRotation="0" wrapText="0" indent="0" justifyLastLine="0" shrinkToFit="0" readingOrder="0"/>
      <protection locked="0" hidden="1"/>
    </dxf>
    <dxf>
      <numFmt numFmtId="164" formatCode="#,##0.0\ _₽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center" textRotation="0" wrapText="0" indent="0" justifyLastLine="0" shrinkToFit="0" readingOrder="0"/>
      <protection locked="0" hidden="1"/>
    </dxf>
    <dxf>
      <numFmt numFmtId="164" formatCode="#,##0.0\ _₽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center" textRotation="0" wrapText="0" indent="0" justifyLastLine="0" shrinkToFit="0" readingOrder="0"/>
      <protection locked="0" hidden="1"/>
    </dxf>
    <dxf>
      <numFmt numFmtId="164" formatCode="#,##0.0\ _₽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center" textRotation="0" wrapText="0" indent="0" justifyLastLine="0" shrinkToFit="0" readingOrder="0"/>
      <protection locked="0" hidden="1"/>
    </dxf>
    <dxf>
      <numFmt numFmtId="164" formatCode="#,##0.0\ _₽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center" textRotation="0" wrapText="0" indent="0" justifyLastLine="0" shrinkToFit="0" readingOrder="0"/>
      <protection locked="0" hidden="1"/>
    </dxf>
    <dxf>
      <numFmt numFmtId="164" formatCode="#,##0.0\ _₽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center" textRotation="0" wrapText="0" indent="0" justifyLastLine="0" shrinkToFit="0" readingOrder="0"/>
      <protection locked="0" hidden="1"/>
    </dxf>
    <dxf>
      <numFmt numFmtId="164" formatCode="#,##0.0\ _₽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center" textRotation="0" indent="0" justifyLastLine="0" shrinkToFit="0" readingOrder="0"/>
      <protection locked="0" hidden="1"/>
    </dxf>
    <dxf>
      <numFmt numFmtId="164" formatCode="#,##0.0\ _₽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center" textRotation="0" indent="0" justifyLastLine="0" shrinkToFit="0" readingOrder="0"/>
      <protection locked="0" hidden="1"/>
    </dxf>
    <dxf>
      <numFmt numFmtId="164" formatCode="#,##0.0\ _₽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center" textRotation="0" indent="0" justifyLastLine="0" shrinkToFit="0" readingOrder="0"/>
      <protection locked="0" hidden="1"/>
    </dxf>
    <dxf>
      <numFmt numFmtId="164" formatCode="#,##0.0\ _₽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center" textRotation="0" wrapText="0" indent="0" justifyLastLine="0" shrinkToFit="0" readingOrder="0"/>
      <protection locked="0" hidden="1"/>
    </dxf>
    <dxf>
      <numFmt numFmtId="164" formatCode="#,##0.0\ _₽"/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center" textRotation="0" wrapText="0" indent="0" justifyLastLine="0" shrinkToFit="0" readingOrder="0"/>
      <protection locked="0" hidden="1"/>
    </dxf>
    <dxf>
      <numFmt numFmtId="164" formatCode="#,##0.0\ _₽"/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center" textRotation="0" wrapText="0" indent="0" justifyLastLine="0" shrinkToFit="0" readingOrder="0"/>
      <protection locked="0" hidden="1"/>
    </dxf>
    <dxf>
      <numFmt numFmtId="164" formatCode="#,##0.0\ _₽"/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center" textRotation="0" wrapText="0" indent="0" justifyLastLine="0" shrinkToFit="0" readingOrder="0"/>
      <protection locked="0" hidden="1"/>
    </dxf>
    <dxf>
      <numFmt numFmtId="164" formatCode="#,##0.0\ _₽"/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center" textRotation="0" wrapText="0" indent="0" justifyLastLine="0" shrinkToFit="0" readingOrder="0"/>
      <protection locked="0" hidden="1"/>
    </dxf>
    <dxf>
      <numFmt numFmtId="164" formatCode="#,##0.0\ _₽"/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center" textRotation="0" wrapText="0" indent="0" justifyLastLine="0" shrinkToFit="0" readingOrder="0"/>
      <protection locked="0" hidden="1"/>
    </dxf>
    <dxf>
      <numFmt numFmtId="164" formatCode="#,##0.0\ _₽"/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1"/>
    </dxf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#,##0.0\ _₽;\-#,##0.0\ _₽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#,##0.0\ _₽;\-#,##0.0\ _₽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#,##0.0\ _₽;\-#,##0.0\ _₽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00000000}" name="Таблица26" displayName="Таблица26" ref="A8:O179" headerRowCount="0" totalsRowShown="0" headerRowDxfId="315" headerRowBorderDxfId="314" tableBorderDxfId="313" totalsRowBorderDxfId="312">
  <tableColumns count="15">
    <tableColumn id="1" xr3:uid="{00000000-0010-0000-0000-000001000000}" name="Столбец1" headerRowDxfId="311" dataDxfId="310">
      <calculatedColumnFormula>IF('Р 1. "Общие сведения"'!I8="","",'Р 1. "Общие сведения"'!I8)</calculatedColumnFormula>
    </tableColumn>
    <tableColumn id="2" xr3:uid="{00000000-0010-0000-0000-000002000000}" name="Столбец2" headerRowDxfId="309" dataDxfId="308">
      <calculatedColumnFormula>IF('Р 1. "Общие сведения"'!J8="","",'Р 1. "Общие сведения"'!J8)</calculatedColumnFormula>
    </tableColumn>
    <tableColumn id="3" xr3:uid="{00000000-0010-0000-0000-000003000000}" name="Столбец3" headerRowDxfId="307" dataDxfId="306">
      <calculatedColumnFormula>IF('Р 1. "Общие сведения"'!H8="","",'Р 1. "Общие сведения"'!H8)</calculatedColumnFormula>
    </tableColumn>
    <tableColumn id="4" xr3:uid="{00000000-0010-0000-0000-000004000000}" name="Столбец4" headerRowDxfId="305" dataDxfId="304">
      <calculatedColumnFormula>IF('Р 1. "Общие сведения"'!D8="","",'Р 1. "Общие сведения"'!D8)</calculatedColumnFormula>
    </tableColumn>
    <tableColumn id="5" xr3:uid="{00000000-0010-0000-0000-000005000000}" name="Столбец5" headerRowDxfId="303" dataDxfId="302">
      <calculatedColumnFormula>IF('Р 1. "Общие сведения"'!K8="","",'Р 1. "Общие сведения"'!K8)</calculatedColumnFormula>
    </tableColumn>
    <tableColumn id="6" xr3:uid="{00000000-0010-0000-0000-000006000000}" name="Столбец6" headerRowDxfId="301" dataDxfId="300">
      <calculatedColumnFormula>IF(OR(Таблица26[[#This Row],[Столбец1]]="",Таблица26[[#This Row],[Столбец5]]="",),"",VLOOKUP(A8,Таблица9[#All],2,FALSE))</calculatedColumnFormula>
    </tableColumn>
    <tableColumn id="7" xr3:uid="{00000000-0010-0000-0000-000007000000}" name="Столбец7" headerRowDxfId="299" dataDxfId="298">
      <calculatedColumnFormula>IF(OR(Таблица26[[#This Row],[Столбец1]]="",Таблица26[[#This Row],[Столбец5]]=""),"",VLOOKUP(A8,'Р 5. Финансирование'!$A$9:$D$100,3,FALSE))</calculatedColumnFormula>
    </tableColumn>
    <tableColumn id="8" xr3:uid="{00000000-0010-0000-0000-000008000000}" name="Столбец8" headerRowDxfId="297" dataDxfId="296">
      <calculatedColumnFormula>IF(OR(Таблица26[[#This Row],[Столбец1]]="",Таблица26[[#This Row],[Столбец5]]=""),"",VLOOKUP(A8,'Р 5. Финансирование'!$A$9:$D$100,4,FALSE))</calculatedColumnFormula>
    </tableColumn>
    <tableColumn id="9" xr3:uid="{00000000-0010-0000-0000-000009000000}" name="Столбец9" headerRowDxfId="295" dataDxfId="294">
      <calculatedColumnFormula>IF(OR(Таблица26[[#This Row],[Столбец5]]="отсутствует",Таблица26[[#This Row],[Столбец5]]=""),"",VLOOKUP(A8,'Р 4. Показатели_индикаторы'!$A$9:$J$103,3,FALSE))</calculatedColumnFormula>
    </tableColumn>
    <tableColumn id="10" xr3:uid="{00000000-0010-0000-0000-00000A000000}" name="Столбец10" headerRowDxfId="293" dataDxfId="292">
      <calculatedColumnFormula>IF(OR(Таблица26[[#This Row],[Столбец5]]="отсутствует",Таблица26[[#This Row],[Столбец5]]=""),"",VLOOKUP(A8,'Р 4. Показатели_индикаторы'!$A$9:$J$103,4,FALSE))</calculatedColumnFormula>
    </tableColumn>
    <tableColumn id="11" xr3:uid="{00000000-0010-0000-0000-00000B000000}" name="Столбец11" headerRowDxfId="291" dataDxfId="290">
      <calculatedColumnFormula>IF(OR(Таблица26[[#This Row],[Столбец1]]="",Таблица26[[#This Row],[Столбец5]]="",Таблица26[[#This Row],[Столбец5]]="отсутствует"),"",VLOOKUP(A8,'Р 4. Показатели_индикаторы'!$A$9:$J$103,5,FALSE))</calculatedColumnFormula>
    </tableColumn>
    <tableColumn id="12" xr3:uid="{00000000-0010-0000-0000-00000C000000}" name="Столбец12" headerRowDxfId="289" dataDxfId="288">
      <calculatedColumnFormula>IF(OR(Таблица26[[#This Row],[Столбец1]]="",Таблица26[[#This Row],[Столбец5]]="",Таблица26[[#This Row],[Столбец5]]="отсутствует"),"",VLOOKUP(A8,'Р 4. Показатели_индикаторы'!$A$9:$J$103,6,FALSE))</calculatedColumnFormula>
    </tableColumn>
    <tableColumn id="13" xr3:uid="{00000000-0010-0000-0000-00000D000000}" name="Столбец13" headerRowDxfId="287" dataDxfId="286">
      <calculatedColumnFormula>IF(OR(Таблица26[[#This Row],[Столбец1]]="",Таблица26[[#This Row],[Столбец5]]="",Таблица26[[#This Row],[Столбец5]]="отсутствует"),"",VLOOKUP(A8,'Р 4. Показатели_индикаторы'!$A$9:$J$103,7,FALSE))</calculatedColumnFormula>
    </tableColumn>
    <tableColumn id="14" xr3:uid="{00000000-0010-0000-0000-00000E000000}" name="Столбец14" headerRowDxfId="285" dataDxfId="284">
      <calculatedColumnFormula>IF(OR(Таблица26[[#This Row],[Столбец1]]="",Таблица26[[#This Row],[Столбец5]]="",Таблица26[[#This Row],[Столбец5]]="отсутствует"),"",VLOOKUP(A8,'Р 4. Показатели_индикаторы'!$A$9:$J$103,8,FALSE))</calculatedColumnFormula>
    </tableColumn>
    <tableColumn id="15" xr3:uid="{00000000-0010-0000-0000-00000F000000}" name="Столбец15" headerRowDxfId="283" dataDxfId="282">
      <calculatedColumnFormula>IF(VLOOKUP(A8,'Р 1. "Общие сведения"'!$I$8:$L$179,4,FALSE)="","",VLOOKUP(A8,'Р 1. "Общие сведения"'!$I$8:$L$179,4,FALSE))</calculatedColumnFormula>
    </tableColumn>
  </tableColumns>
  <tableStyleInfo showFirstColumn="0" showLastColumn="0" showRowStripes="0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9000000}" name="Таблица2" displayName="Таблица2" ref="D6:P179" headerRowDxfId="116" dataDxfId="114" headerRowBorderDxfId="115" tableBorderDxfId="113">
  <autoFilter ref="D6:P179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900-000001000000}" name="Наименование объекта учета_x000a__x000a_(вводится вручную в соответствии с документом о вводе в эксплуатацию/о создании/иного документа)" totalsRowLabel="Итог" dataDxfId="112" totalsRowDxfId="111"/>
    <tableColumn id="2" xr3:uid="{00000000-0010-0000-0900-000002000000}" name="Идентификатор объекта учета _x000a__x000a_(вводится вручную при наличии системы учета)" dataDxfId="110" totalsRowDxfId="109"/>
    <tableColumn id="3" xr3:uid="{00000000-0010-0000-0900-000003000000}" name="Статус состояния объекта учета_x000a__x000a_(выбирается из выпадающего списка)" dataDxfId="108" totalsRowDxfId="107"/>
    <tableColumn id="4" xr3:uid="{00000000-0010-0000-0900-000004000000}" name="Планируемый статус объекта учета_x000a__x000a_(выбирается из выпадающего списка)" dataDxfId="106" totalsRowDxfId="105"/>
    <tableColumn id="5" xr3:uid="{00000000-0010-0000-0900-000005000000}" name="Тип мероприятия_x000a__x000a__x000a_(выбирается из выпадающего списка)" dataDxfId="104" totalsRowDxfId="103"/>
    <tableColumn id="6" xr3:uid="{00000000-0010-0000-0900-000006000000}" name="Наименование мероприятия по информатизации_x000a__x000a_(формируется автоматически на основании наименования объекта учета и выбранного типа мероприятия)" dataDxfId="102" totalsRowDxfId="101">
      <calculatedColumnFormula>CONCATENATE(H7," ",D7)</calculatedColumnFormula>
    </tableColumn>
    <tableColumn id="7" xr3:uid="{00000000-0010-0000-0900-000007000000}" name="Уникальный номер мероприятия_x000a_(формируется автоматически)" dataDxfId="100" totalsRowDxfId="99"/>
    <tableColumn id="8" xr3:uid="{00000000-0010-0000-0900-000008000000}" name="Приоритетное направление_x000a__x000a_(выбирается из выпадающего списка)" dataDxfId="98" totalsRowDxfId="97"/>
    <tableColumn id="9" xr3:uid="{00000000-0010-0000-0900-000009000000}" name="Документ-основание_x000a__x000a_(вводится вручную)" dataDxfId="96" totalsRowDxfId="95">
      <calculatedColumnFormula>IF(A7="Аппарат Губернатора и Правительства Оренбургской области",Справочники!D4,IF(A7="Министерство здравоохранения Оренбургской области",Справочники!D5,IF(A7="Министерство социального развития Оренбургской области",Справочники!D6,IF(A7="Министерство культуры Оренбургской области",Справочники!D8,IF(A7="Министерство физической культуры и спорта Оренбургской области",Справочники!D9,IF(A7="Министерство образования Оренбургской области",Справочники!D10,IF(A7="Министерство природных ресурсов, экологии и имущественных отношений Оренбургской области",Справочники!D11,IF(A7="Министерство сельского хозяйства, торговли, пищевой и перерабатывающей промышленности Оренбургской области",Справочники!D12,IF(A7="Министерство строительства, жилищно-коммунального, дорожного хозяйства и транспорта Оренбургской области",Справочники!D13,IF(A7="Министерство труда и занятости населения Оренбургской области",Справочники!D14,IF(A7="Министерство финансов Оренбургской области",Справочники!D15,IF(A7="Министерство внутреннего государственного финансового контроля Оренбургской области",Справочники!D30,IF(A7="Министерство экономического развития, инвестиций, туризма и внешних связей Оренбургской области",Справочники!D16,IF(A7="Департамент Оренбургской области по ценам и регулированию тарифов",Справочники!D20,IF(A7="Департамент пожарной безопасности и гражданской защиты Оренбургской области",Справочники!D22,IF(A7="Департамент молодежной политики Оренбургской области",Справочники!D21,IF(A7="Департамент информационных технологий Оренбургской области",Справочники!D18,IF(A7="Государственная жилищная инспекция по Оренбургской области",Справочники!D23,IF(A7="Инспекция государственного строительного надзора Оренбургской области",Справочники!D24,IF(A7="Комитет по обеспечению деятельности мировых судей Оренбургской области",Справочники!D26,IF(A7="Комитет по вопросам записи актов гражданского состояния Оренбургской области",Справочники!D27,IF(A7="Комитет по делам архивов Оренбургской области",Справочники!D28,IF(A7="Инспекция государственной охраны объектов культурного наследия Оренбургской области",Справочники!D25,IF(A7="Комитет по профилактике коррупционных правонарушений Оренбургской области",Справочники!D29,IF(A7="Министерство промышленности и энергетики Оренбургской области",Справочники!D17)))))))))))))))))))))))))</calculatedColumnFormula>
    </tableColumn>
    <tableColumn id="10" xr3:uid="{00000000-0010-0000-0900-00000A000000}" name="Ответственный за реализацию мероприятия _x000a_(Ф.И.О., должность, контактный телефон, электронная почта, вводится вручную)" dataDxfId="94" totalsRowDxfId="93"/>
    <tableColumn id="11" xr3:uid="{00000000-0010-0000-0900-00000B000000}" name="Информация в форме открытых данных_x000a__x000a_(вводится вручную)" dataDxfId="92" totalsRowDxfId="91"/>
    <tableColumn id="12" xr3:uid="{00000000-0010-0000-0900-00000C000000}" name="Обеспечение возможности размещения информации в форме открытых данных" dataDxfId="90" totalsRowDxfId="89"/>
    <tableColumn id="13" xr3:uid="{00000000-0010-0000-0900-00000D000000}" name="Дополнительная информация" totalsRowFunction="count" dataDxfId="88" totalsRowDxfId="87"/>
  </tableColumns>
  <tableStyleInfo showFirstColumn="0" showLastColumn="0" showRowStripes="0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A000000}" name="Таблица6" displayName="Таблица6" ref="A7:C179" totalsRowShown="0" headerRowDxfId="86" dataDxfId="85">
  <autoFilter ref="A7:C179" xr:uid="{00000000-0009-0000-0100-000006000000}"/>
  <tableColumns count="3">
    <tableColumn id="1" xr3:uid="{00000000-0010-0000-0A00-000001000000}" name="Столбец1" dataDxfId="84">
      <calculatedColumnFormula>IF(I8="","",A8+1)</calculatedColumnFormula>
    </tableColumn>
    <tableColumn id="2" xr3:uid="{00000000-0010-0000-0A00-000002000000}" name="Столбец2" dataDxfId="83">
      <calculatedColumnFormula>IF(AND(A8=1,'План инф-ции (титул)'!$N$6&lt;&gt;""),"001П","001")</calculatedColumnFormula>
    </tableColumn>
    <tableColumn id="3" xr3:uid="{00000000-0010-0000-0A00-000003000000}" name="Столбец3" dataDxfId="82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B000000}" name="Таблица3" displayName="Таблица3" ref="A6:G102" headerRowCount="0" headerRowDxfId="81" headerRowBorderDxfId="80" tableBorderDxfId="79">
  <tableColumns count="7">
    <tableColumn id="1" xr3:uid="{00000000-0010-0000-0B00-000001000000}" name="Столбец1" totalsRowLabel="Итог" headerRowDxfId="78" dataDxfId="77" totalsRowDxfId="76"/>
    <tableColumn id="2" xr3:uid="{00000000-0010-0000-0B00-000002000000}" name="Столбец2" headerRowDxfId="75"/>
    <tableColumn id="3" xr3:uid="{00000000-0010-0000-0B00-000003000000}" name="Столбец3" headerRowDxfId="74"/>
    <tableColumn id="4" xr3:uid="{00000000-0010-0000-0B00-000004000000}" name="Столбец4" headerRowDxfId="73" dataDxfId="72"/>
    <tableColumn id="5" xr3:uid="{00000000-0010-0000-0B00-000005000000}" name="Столбец5" headerRowDxfId="71"/>
    <tableColumn id="6" xr3:uid="{00000000-0010-0000-0B00-000006000000}" name="Столбец6" headerRowDxfId="70"/>
    <tableColumn id="7" xr3:uid="{00000000-0010-0000-0B00-000007000000}" name="Столбец7" headerRowDxfId="69"/>
  </tableColumns>
  <tableStyleInfo showFirstColumn="0" showLastColumn="0" showRowStripes="0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C000000}" name="Таблица4" displayName="Таблица4" ref="A5:E92" totalsRowShown="0" headerRowDxfId="68" dataDxfId="66" headerRowBorderDxfId="67" tableBorderDxfId="65">
  <autoFilter ref="A5:E92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C00-000001000000}" name="Наименование мероприятия по информатизации_x000a__x000a_(выбирается из выпадающего списка, сформированного в разделе 1)" dataDxfId="64"/>
    <tableColumn id="2" xr3:uid="{00000000-0010-0000-0C00-000002000000}" name="Тип документа по информатизации" dataDxfId="63"/>
    <tableColumn id="3" xr3:uid="{00000000-0010-0000-0C00-000003000000}" name="Обоснование мероприятия по информатизации" dataDxfId="62"/>
    <tableColumn id="4" xr3:uid="{00000000-0010-0000-0C00-000004000000}" name="Наименование документа по информатизации" dataDxfId="61"/>
    <tableColumn id="5" xr3:uid="{00000000-0010-0000-0C00-000005000000}" name="Оценка мероприятия по информатизации_x000a__x000a_(выбирается из выпадающего списка)" dataDxfId="60"/>
  </tableColumns>
  <tableStyleInfo showFirstColumn="0" showLastColumn="0" showRowStripes="0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D000000}" name="Таблица7" displayName="Таблица7" ref="A8:J103" totalsRowShown="0" headerRowDxfId="59" dataDxfId="58" tableBorderDxfId="57">
  <autoFilter ref="A8:J103" xr:uid="{00000000-0009-0000-0100-00000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00000000-0010-0000-0D00-000001000000}" name="Столбец1" dataDxfId="56"/>
    <tableColumn id="2" xr3:uid="{00000000-0010-0000-0D00-000002000000}" name="Столбец2" dataDxfId="55"/>
    <tableColumn id="3" xr3:uid="{00000000-0010-0000-0D00-000003000000}" name="Столбец3" dataDxfId="54"/>
    <tableColumn id="4" xr3:uid="{00000000-0010-0000-0D00-000004000000}" name="Столбец4" dataDxfId="53"/>
    <tableColumn id="5" xr3:uid="{00000000-0010-0000-0D00-000005000000}" name="Столбец5" dataDxfId="52"/>
    <tableColumn id="6" xr3:uid="{00000000-0010-0000-0D00-000006000000}" name="Столбец6" dataDxfId="51"/>
    <tableColumn id="7" xr3:uid="{00000000-0010-0000-0D00-000007000000}" name="Столбец7" dataDxfId="50"/>
    <tableColumn id="8" xr3:uid="{00000000-0010-0000-0D00-000008000000}" name="Столбец8" dataDxfId="49"/>
    <tableColumn id="9" xr3:uid="{00000000-0010-0000-0D00-000009000000}" name="Столбец9" dataDxfId="48"/>
    <tableColumn id="10" xr3:uid="{00000000-0010-0000-0D00-00000A000000}" name="Столбец10" dataDxfId="47" dataCellStyle="Процентный"/>
  </tableColumns>
  <tableStyleInfo name="TableStyleLight1" showFirstColumn="0" showLastColumn="0" showRowStripes="0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E000000}" name="Таблица9" displayName="Таблица9" ref="A9:D100" headerRowCount="0" totalsRowShown="0" headerRowDxfId="46" dataDxfId="45">
  <tableColumns count="4">
    <tableColumn id="1" xr3:uid="{00000000-0010-0000-0E00-000001000000}" name="Столбец1" headerRowDxfId="44" dataDxfId="43"/>
    <tableColumn id="2" xr3:uid="{00000000-0010-0000-0E00-000002000000}" name="Столбец2" headerRowDxfId="42" dataDxfId="41"/>
    <tableColumn id="3" xr3:uid="{00000000-0010-0000-0E00-000003000000}" name="Столбец3" headerRowDxfId="40" dataDxfId="39"/>
    <tableColumn id="4" xr3:uid="{00000000-0010-0000-0E00-000004000000}" name="Столбец4" headerRowDxfId="38" dataDxfId="37"/>
  </tableColumns>
  <tableStyleInfo name="TableStyleLight1" showFirstColumn="0" showLastColumn="0" showRowStripes="0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F000000}" name="Таблица11" displayName="Таблица11" ref="A6:L82" headerRowCount="0" totalsRowShown="0" headerRowDxfId="36" dataDxfId="35" tableBorderDxfId="34">
  <tableColumns count="12">
    <tableColumn id="1" xr3:uid="{00000000-0010-0000-0F00-000001000000}" name="Столбец1" headerRowDxfId="33" dataDxfId="32"/>
    <tableColumn id="2" xr3:uid="{00000000-0010-0000-0F00-000002000000}" name="Столбец2" headerRowDxfId="31" dataDxfId="30"/>
    <tableColumn id="3" xr3:uid="{00000000-0010-0000-0F00-000003000000}" name="Столбец3" headerRowDxfId="29" dataDxfId="28"/>
    <tableColumn id="4" xr3:uid="{00000000-0010-0000-0F00-000004000000}" name="Столбец4" headerRowDxfId="27" dataDxfId="26"/>
    <tableColumn id="5" xr3:uid="{00000000-0010-0000-0F00-000005000000}" name="Столбец5" headerRowDxfId="25" dataDxfId="24"/>
    <tableColumn id="6" xr3:uid="{00000000-0010-0000-0F00-000006000000}" name="Столбец6" headerRowDxfId="23" dataDxfId="22"/>
    <tableColumn id="7" xr3:uid="{00000000-0010-0000-0F00-000007000000}" name="Столбец7" headerRowDxfId="21" dataDxfId="20"/>
    <tableColumn id="8" xr3:uid="{00000000-0010-0000-0F00-000008000000}" name="Столбец8" headerRowDxfId="19" dataDxfId="18"/>
    <tableColumn id="9" xr3:uid="{00000000-0010-0000-0F00-000009000000}" name="Столбец9" headerRowDxfId="17" dataDxfId="16"/>
    <tableColumn id="10" xr3:uid="{00000000-0010-0000-0F00-00000A000000}" name="Столбец10" headerRowDxfId="15" dataDxfId="14"/>
    <tableColumn id="11" xr3:uid="{00000000-0010-0000-0F00-00000B000000}" name="Столбец11" headerRowDxfId="13" dataDxfId="12"/>
    <tableColumn id="12" xr3:uid="{00000000-0010-0000-0F00-00000C000000}" name="Столбец12" headerRowDxfId="11" dataDxfId="10"/>
  </tableColumns>
  <tableStyleInfo name="TableStyleLight1" showFirstColumn="0" showLastColumn="0" showRowStripes="0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10000000}" name="Таблица12" displayName="Таблица12" ref="A5:F98" totalsRowShown="0" headerRowDxfId="9" dataDxfId="7" headerRowBorderDxfId="8" tableBorderDxfId="6">
  <autoFilter ref="A5:F98" xr:uid="{00000000-0009-0000-0100-00000C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1000-000001000000}" name="Наименование мероприятия по информатизации_x000a__x000a_(выбирается из выпадающего списка, сформированного в разделе 1)" dataDxfId="5"/>
    <tableColumn id="2" xr3:uid="{00000000-0010-0000-1000-000002000000}" name="Сведения об оценке мероприятия по информатизации_x000a_(выбирается из выпадающего списка)" dataDxfId="4"/>
    <tableColumn id="3" xr3:uid="{00000000-0010-0000-1000-000003000000}" name="Изменение параметров мероприятия по информатизации_x000a_(выбирается из выпадающего списка)" dataDxfId="3"/>
    <tableColumn id="4" xr3:uid="{00000000-0010-0000-1000-000004000000}" name="Вид закупки_x000a__x000a__x000a_(выбирается из выпадающего списка)" dataDxfId="2"/>
    <tableColumn id="5" xr3:uid="{00000000-0010-0000-1000-000005000000}" name="Оценка мерпоириятия по информатизации_x000a_(выбирается из выпадающего списка)" dataDxfId="1"/>
    <tableColumn id="6" xr3:uid="{00000000-0010-0000-1000-000006000000}" name="Последовательность включения в план информатизации_x000a_(выбирается из выпадающего списка)" dataDxfId="0"/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1000000}" name="Таблица15" displayName="Таблица15" ref="A15:N17" headerRowCount="0" totalsRowShown="0" headerRowDxfId="281" dataDxfId="280" tableBorderDxfId="279">
  <tableColumns count="14">
    <tableColumn id="1" xr3:uid="{00000000-0010-0000-0100-000001000000}" name="Столбец1" headerRowDxfId="278" dataDxfId="277"/>
    <tableColumn id="2" xr3:uid="{00000000-0010-0000-0100-000002000000}" name="Столбец2" headerRowDxfId="276" dataDxfId="275">
      <calculatedColumnFormula>IF(Таблица15[[#This Row],[Столбец1]]="","",INDEX(Лист2!$A$8:$O$179,MATCH(A15,Лист2!$B$8:$B$179,0),3))</calculatedColumnFormula>
    </tableColumn>
    <tableColumn id="3" xr3:uid="{00000000-0010-0000-0100-000003000000}" name="Столбец3" headerRowDxfId="274" dataDxfId="273">
      <calculatedColumnFormula>IF(Таблица15[[#This Row],[Столбец1]]="","",INDEX(Лист2!$A$8:$O$179,MATCH(A15,Лист2!$B$8:$B$179,0),4))</calculatedColumnFormula>
    </tableColumn>
    <tableColumn id="4" xr3:uid="{00000000-0010-0000-0100-000004000000}" name="Столбец4" headerRowDxfId="272" dataDxfId="271">
      <calculatedColumnFormula>IF(Таблица15[[#This Row],[Столбец1]]="","",INDEX(Лист2!$A$8:$O$179,MATCH(A15,Лист2!$B$8:$B$179,0),5))</calculatedColumnFormula>
    </tableColumn>
    <tableColumn id="5" xr3:uid="{00000000-0010-0000-0100-000005000000}" name="Столбец5" headerRowDxfId="270" dataDxfId="269">
      <calculatedColumnFormula>IF(Таблица15[[#This Row],[Столбец1]]="","",INDEX(Лист2!$A$8:$O$179,MATCH(A15,Лист2!$B$8:$B$179,0),6))</calculatedColumnFormula>
    </tableColumn>
    <tableColumn id="6" xr3:uid="{00000000-0010-0000-0100-000006000000}" name="Столбец6" headerRowDxfId="268" dataDxfId="267">
      <calculatedColumnFormula>IF(Таблица15[[#This Row],[Столбец1]]="","",INDEX(Лист2!$A$8:$O$179,MATCH(A15,Лист2!$B$8:$B$179,0),7))</calculatedColumnFormula>
    </tableColumn>
    <tableColumn id="7" xr3:uid="{00000000-0010-0000-0100-000007000000}" name="Столбец7" headerRowDxfId="266" dataDxfId="265">
      <calculatedColumnFormula>IF(Таблица15[[#This Row],[Столбец1]]="","",INDEX(Лист2!$A$8:$O$179,MATCH(A15,Лист2!$B$8:$B$179,0),8))</calculatedColumnFormula>
    </tableColumn>
    <tableColumn id="8" xr3:uid="{00000000-0010-0000-0100-000008000000}" name="Столбец8" headerRowDxfId="264" dataDxfId="263">
      <calculatedColumnFormula>IF(OR(Таблица15[[#This Row],[Столбец1]]="",Таблица15[[#This Row],[Столбец4]]="отсутствует"),"",INDEX(Лист2!$A$8:$O$179,MATCH(A15,Лист2!$B$8:$B$179,0),9))</calculatedColumnFormula>
    </tableColumn>
    <tableColumn id="9" xr3:uid="{00000000-0010-0000-0100-000009000000}" name="Столбец9" headerRowDxfId="262" dataDxfId="261">
      <calculatedColumnFormula>IF(OR(Таблица15[[#This Row],[Столбец1]]="",Таблица15[[#This Row],[Столбец4]]="отсутствует"),"",INDEX(Лист2!$A$8:$O$179,MATCH(A15,Лист2!$B$8:$B$179,0),10))</calculatedColumnFormula>
    </tableColumn>
    <tableColumn id="10" xr3:uid="{00000000-0010-0000-0100-00000A000000}" name="Столбец10" headerRowDxfId="260" dataDxfId="259">
      <calculatedColumnFormula>IF(OR(Таблица15[[#This Row],[Столбец1]]="",Таблица15[[#This Row],[Столбец4]]="отсутствует"),"",INDEX(Лист2!$A$8:$O$179,MATCH(A15,Лист2!$B$8:$B$179,0),11))</calculatedColumnFormula>
    </tableColumn>
    <tableColumn id="11" xr3:uid="{00000000-0010-0000-0100-00000B000000}" name="Столбец11" headerRowDxfId="258" dataDxfId="257">
      <calculatedColumnFormula>IF(OR(Таблица15[[#This Row],[Столбец1]]="",Таблица15[[#This Row],[Столбец4]]="отсутствует"),"",INDEX(Лист2!$A$8:$O$179,MATCH(A15,Лист2!$B$8:$B$179,0),12))</calculatedColumnFormula>
    </tableColumn>
    <tableColumn id="12" xr3:uid="{00000000-0010-0000-0100-00000C000000}" name="Столбец12" headerRowDxfId="256" dataDxfId="255">
      <calculatedColumnFormula>IF(OR(Таблица15[[#This Row],[Столбец1]]="",Таблица15[[#This Row],[Столбец4]]="отсутствует"),"",INDEX(Лист2!$A$8:$O$179,MATCH(A15,Лист2!$B$8:$B$179,0),13))</calculatedColumnFormula>
    </tableColumn>
    <tableColumn id="13" xr3:uid="{00000000-0010-0000-0100-00000D000000}" name="Столбец13" headerRowDxfId="254" dataDxfId="253">
      <calculatedColumnFormula>IF(OR(Таблица15[[#This Row],[Столбец1]]="",Таблица15[[#This Row],[Столбец4]]="отсутствует"),"",INDEX(Лист2!$A$8:$O$179,MATCH(A15,Лист2!$B$8:$B$179,0),14))</calculatedColumnFormula>
    </tableColumn>
    <tableColumn id="14" xr3:uid="{00000000-0010-0000-0100-00000E000000}" name="Столбец14" headerRowDxfId="252" dataDxfId="251">
      <calculatedColumnFormula>IF(Таблица15[[#This Row],[Столбец1]]="","",IF(INDEX(Лист2!$A$8:$O$179,MATCH(A15,Лист2!$B$8:$B$179,0),15)=0,"",INDEX(Лист2!$A$8:$O$179,MATCH(A15,Лист2!$B$8:$B$179,0),15)))</calculatedColumnFormula>
    </tableColumn>
  </tableColumns>
  <tableStyleInfo name="TableStyleLight1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2000000}" name="Таблица16" displayName="Таблица16" ref="A19:N25" headerRowCount="0" totalsRowShown="0" headerRowDxfId="250" dataDxfId="249">
  <tableColumns count="14">
    <tableColumn id="1" xr3:uid="{00000000-0010-0000-0200-000001000000}" name="Столбец1" headerRowDxfId="248" dataDxfId="247"/>
    <tableColumn id="2" xr3:uid="{00000000-0010-0000-0200-000002000000}" name="Столбец2" dataDxfId="246">
      <calculatedColumnFormula>IF(Таблица16[[#This Row],[Столбец1]]="","",INDEX(Лист2!$A$8:$O$179,MATCH(A19,Лист2!$B$8:$B$179,0),3))</calculatedColumnFormula>
    </tableColumn>
    <tableColumn id="3" xr3:uid="{00000000-0010-0000-0200-000003000000}" name="Столбец3" dataDxfId="245">
      <calculatedColumnFormula>IF(Таблица16[[#This Row],[Столбец1]]="","",INDEX(Лист2!$A$8:$O$179,MATCH(A19,Лист2!$B$8:$B$179,0),4))</calculatedColumnFormula>
    </tableColumn>
    <tableColumn id="4" xr3:uid="{00000000-0010-0000-0200-000004000000}" name="Столбец4" dataDxfId="244">
      <calculatedColumnFormula>IF(Таблица16[[#This Row],[Столбец1]]="","",INDEX(Лист2!$A$8:$O$179,MATCH(A19,Лист2!$B$8:$B$179,0),5))</calculatedColumnFormula>
    </tableColumn>
    <tableColumn id="5" xr3:uid="{00000000-0010-0000-0200-000005000000}" name="Столбец5" headerRowDxfId="243" dataDxfId="242">
      <calculatedColumnFormula>IF(Таблица16[[#This Row],[Столбец1]]="","",INDEX(Лист2!$A$8:$O$179,MATCH(A19,Лист2!$B$8:$B$179,0),6))</calculatedColumnFormula>
    </tableColumn>
    <tableColumn id="6" xr3:uid="{00000000-0010-0000-0200-000006000000}" name="Столбец6" headerRowDxfId="241" dataDxfId="240">
      <calculatedColumnFormula>IF(Таблица16[[#This Row],[Столбец1]]="","",INDEX(Лист2!$A$8:$O$179,MATCH(A19,Лист2!$B$8:$B$179,0),7))</calculatedColumnFormula>
    </tableColumn>
    <tableColumn id="7" xr3:uid="{00000000-0010-0000-0200-000007000000}" name="Столбец7" headerRowDxfId="239" dataDxfId="238">
      <calculatedColumnFormula>IF(Таблица16[[#This Row],[Столбец1]]="","",INDEX(Лист2!$A$8:$O$179,MATCH(A19,Лист2!$B$8:$B$179,0),8))</calculatedColumnFormula>
    </tableColumn>
    <tableColumn id="8" xr3:uid="{00000000-0010-0000-0200-000008000000}" name="Столбец8" dataDxfId="237">
      <calculatedColumnFormula>IF(OR(Таблица16[[#This Row],[Столбец1]]="",Таблица16[[#This Row],[Столбец4]]="отсутствует"),"",INDEX(Лист2!$A$8:$O$179,MATCH(A19,Лист2!$B$8:$B$179,0),9))</calculatedColumnFormula>
    </tableColumn>
    <tableColumn id="9" xr3:uid="{00000000-0010-0000-0200-000009000000}" name="Столбец9" dataDxfId="236">
      <calculatedColumnFormula>IF(OR(Таблица16[[#This Row],[Столбец1]]="",Таблица16[[#This Row],[Столбец4]]="отсутствует"),"",INDEX(Лист2!$A$8:$O$179,MATCH(A19,Лист2!$B$8:$B$179,0),10))</calculatedColumnFormula>
    </tableColumn>
    <tableColumn id="10" xr3:uid="{00000000-0010-0000-0200-00000A000000}" name="Столбец10" dataDxfId="235">
      <calculatedColumnFormula>IF(OR(Таблица16[[#This Row],[Столбец1]]="",Таблица16[[#This Row],[Столбец4]]="отсутствует"),"",INDEX(Лист2!$A$8:$O$179,MATCH(A19,Лист2!$B$8:$B$179,0),11))</calculatedColumnFormula>
    </tableColumn>
    <tableColumn id="11" xr3:uid="{00000000-0010-0000-0200-00000B000000}" name="Столбец11" dataDxfId="234">
      <calculatedColumnFormula>IF(OR(Таблица16[[#This Row],[Столбец1]]="",Таблица16[[#This Row],[Столбец4]]="отсутствует"),"",INDEX(Лист2!$A$8:$O$179,MATCH(A19,Лист2!$B$8:$B$179,0),12))</calculatedColumnFormula>
    </tableColumn>
    <tableColumn id="12" xr3:uid="{00000000-0010-0000-0200-00000C000000}" name="Столбец12" dataDxfId="233">
      <calculatedColumnFormula>IF(OR(Таблица16[[#This Row],[Столбец1]]="",Таблица16[[#This Row],[Столбец4]]="отсутствует"),"",INDEX(Лист2!$A$8:$O$179,MATCH(A19,Лист2!$B$8:$B$179,0),13))</calculatedColumnFormula>
    </tableColumn>
    <tableColumn id="13" xr3:uid="{00000000-0010-0000-0200-00000D000000}" name="Столбец13" dataDxfId="232">
      <calculatedColumnFormula>IF(OR(Таблица16[[#This Row],[Столбец1]]="",Таблица16[[#This Row],[Столбец4]]="отсутствует"),"",INDEX(Лист2!$A$8:$O$179,MATCH(A19,Лист2!$B$8:$B$179,0),14))</calculatedColumnFormula>
    </tableColumn>
    <tableColumn id="14" xr3:uid="{00000000-0010-0000-0200-00000E000000}" name="Столбец14" dataDxfId="231">
      <calculatedColumnFormula>IF(Таблица16[[#This Row],[Столбец1]]="","",IF(INDEX(Лист2!$A$8:$O$179,MATCH(A19,Лист2!$B$8:$B$179,0),15)=0,"",INDEX(Лист2!$A$8:$O$179,MATCH(A19,Лист2!$B$8:$B$179,0),15)))</calculatedColumnFormula>
    </tableColumn>
  </tableColumns>
  <tableStyleInfo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3000000}" name="Таблица17" displayName="Таблица17" ref="A27:N30" headerRowCount="0" totalsRowShown="0" headerRowDxfId="230" dataDxfId="229">
  <tableColumns count="14">
    <tableColumn id="1" xr3:uid="{00000000-0010-0000-0300-000001000000}" name="Столбец1" dataDxfId="228"/>
    <tableColumn id="2" xr3:uid="{00000000-0010-0000-0300-000002000000}" name="Столбец2" dataDxfId="227">
      <calculatedColumnFormula>IF(Таблица17[[#This Row],[Столбец1]]="","",INDEX(Лист2!$A$8:$O$179,MATCH(A27,Лист2!$B$8:$B$179,0),3))</calculatedColumnFormula>
    </tableColumn>
    <tableColumn id="3" xr3:uid="{00000000-0010-0000-0300-000003000000}" name="Столбец3" dataDxfId="226">
      <calculatedColumnFormula>IF(Таблица17[[#This Row],[Столбец1]]="","",INDEX(Лист2!$A$8:$O$179,MATCH(A27,Лист2!$B$8:$B$179,0),4))</calculatedColumnFormula>
    </tableColumn>
    <tableColumn id="4" xr3:uid="{00000000-0010-0000-0300-000004000000}" name="Столбец4" dataDxfId="225">
      <calculatedColumnFormula>IF(Таблица17[[#This Row],[Столбец1]]="","",INDEX(Лист2!$A$8:$O$179,MATCH(A27,Лист2!$B$8:$B$179,0),5))</calculatedColumnFormula>
    </tableColumn>
    <tableColumn id="5" xr3:uid="{00000000-0010-0000-0300-000005000000}" name="Столбец5" headerRowDxfId="224" dataDxfId="223">
      <calculatedColumnFormula>IF(Таблица17[[#This Row],[Столбец1]]="","",INDEX(Лист2!$A$8:$O$179,MATCH(A27,Лист2!$B$8:$B$179,0),6))</calculatedColumnFormula>
    </tableColumn>
    <tableColumn id="6" xr3:uid="{00000000-0010-0000-0300-000006000000}" name="Столбец6" headerRowDxfId="222" dataDxfId="221">
      <calculatedColumnFormula>IF(Таблица17[[#This Row],[Столбец1]]="","",INDEX(Лист2!$A$8:$O$179,MATCH(A27,Лист2!$B$8:$B$179,0),7))</calculatedColumnFormula>
    </tableColumn>
    <tableColumn id="7" xr3:uid="{00000000-0010-0000-0300-000007000000}" name="Столбец7" headerRowDxfId="220" dataDxfId="219">
      <calculatedColumnFormula>IF(Таблица17[[#This Row],[Столбец1]]="","",INDEX(Лист2!$A$8:$O$179,MATCH(A27,Лист2!$B$8:$B$179,0),8))</calculatedColumnFormula>
    </tableColumn>
    <tableColumn id="8" xr3:uid="{00000000-0010-0000-0300-000008000000}" name="Столбец8" dataDxfId="218">
      <calculatedColumnFormula>IF(OR(Таблица17[[#This Row],[Столбец1]]="",Таблица17[[#This Row],[Столбец4]]="отсутствует"),"",INDEX(Лист2!$A$8:$O$179,MATCH(A27,Лист2!$B$8:$B$179,0),9))</calculatedColumnFormula>
    </tableColumn>
    <tableColumn id="9" xr3:uid="{00000000-0010-0000-0300-000009000000}" name="Столбец9" dataDxfId="217">
      <calculatedColumnFormula>IF(OR(Таблица17[[#This Row],[Столбец1]]="",Таблица17[[#This Row],[Столбец4]]="отсутствует"),"",INDEX(Лист2!$A$8:$O$179,MATCH(A27,Лист2!$B$8:$B$179,0),10))</calculatedColumnFormula>
    </tableColumn>
    <tableColumn id="10" xr3:uid="{00000000-0010-0000-0300-00000A000000}" name="Столбец10" dataDxfId="216">
      <calculatedColumnFormula>IF(OR(Таблица17[[#This Row],[Столбец1]]="",Таблица17[[#This Row],[Столбец4]]="отсутствует"),"",INDEX(Лист2!$A$8:$O$179,MATCH(A27,Лист2!$B$8:$B$179,0),11))</calculatedColumnFormula>
    </tableColumn>
    <tableColumn id="11" xr3:uid="{00000000-0010-0000-0300-00000B000000}" name="Столбец11" dataDxfId="215">
      <calculatedColumnFormula>IF(OR(Таблица17[[#This Row],[Столбец1]]="",Таблица17[[#This Row],[Столбец4]]="отсутствует"),"",INDEX(Лист2!$A$8:$O$179,MATCH(A27,Лист2!$B$8:$B$179,0),12))</calculatedColumnFormula>
    </tableColumn>
    <tableColumn id="12" xr3:uid="{00000000-0010-0000-0300-00000C000000}" name="Столбец12" dataDxfId="214">
      <calculatedColumnFormula>IF(OR(Таблица17[[#This Row],[Столбец1]]="",Таблица17[[#This Row],[Столбец4]]="отсутствует"),"",INDEX(Лист2!$A$8:$O$179,MATCH(A27,Лист2!$B$8:$B$179,0),13))</calculatedColumnFormula>
    </tableColumn>
    <tableColumn id="13" xr3:uid="{00000000-0010-0000-0300-00000D000000}" name="Столбец13" dataDxfId="213">
      <calculatedColumnFormula>IF(OR(Таблица17[[#This Row],[Столбец1]]="",Таблица17[[#This Row],[Столбец4]]="отсутствует"),"",INDEX(Лист2!$A$8:$O$179,MATCH(A27,Лист2!$B$8:$B$179,0),14))</calculatedColumnFormula>
    </tableColumn>
    <tableColumn id="14" xr3:uid="{00000000-0010-0000-0300-00000E000000}" name="Столбец14" dataDxfId="212">
      <calculatedColumnFormula>IF(Таблица17[[#This Row],[Столбец1]]="","",IF(INDEX(Лист2!$A$8:$O$179,MATCH(A27,Лист2!$B$8:$B$179,0),15)=0,"",INDEX(Лист2!$A$8:$O$179,MATCH(A27,Лист2!$B$8:$B$179,0),15)))</calculatedColumnFormula>
    </tableColumn>
  </tableColumns>
  <tableStyleInfo showFirstColumn="0" showLastColumn="0" showRowStripes="0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4000000}" name="Таблица18" displayName="Таблица18" ref="A32:N38" headerRowCount="0" totalsRowShown="0" headerRowDxfId="211" dataDxfId="210">
  <tableColumns count="14">
    <tableColumn id="1" xr3:uid="{00000000-0010-0000-0400-000001000000}" name="Столбец1" dataDxfId="209"/>
    <tableColumn id="2" xr3:uid="{00000000-0010-0000-0400-000002000000}" name="Столбец2" dataDxfId="208">
      <calculatedColumnFormula>IF(Таблица18[[#This Row],[Столбец1]]="","",INDEX(Лист2!$A$8:$O$179,MATCH(A32,Лист2!$B$8:$B$179,0),3))</calculatedColumnFormula>
    </tableColumn>
    <tableColumn id="3" xr3:uid="{00000000-0010-0000-0400-000003000000}" name="Столбец3" dataDxfId="207">
      <calculatedColumnFormula>IF(Таблица18[[#This Row],[Столбец1]]="","",INDEX(Лист2!$A$8:$O$179,MATCH(A32,Лист2!$B$8:$B$179,0),4))</calculatedColumnFormula>
    </tableColumn>
    <tableColumn id="4" xr3:uid="{00000000-0010-0000-0400-000004000000}" name="Столбец4" dataDxfId="206">
      <calculatedColumnFormula>IF(Таблица18[[#This Row],[Столбец1]]="","",INDEX(Лист2!$A$8:$O$179,MATCH(A32,Лист2!$B$8:$B$179,0),5))</calculatedColumnFormula>
    </tableColumn>
    <tableColumn id="5" xr3:uid="{00000000-0010-0000-0400-000005000000}" name="Столбец5" headerRowDxfId="205" dataDxfId="204">
      <calculatedColumnFormula>IF(Таблица18[[#This Row],[Столбец1]]="","",INDEX(Лист2!$A$8:$O$179,MATCH(A32,Лист2!$B$8:$B$179,0),6))</calculatedColumnFormula>
    </tableColumn>
    <tableColumn id="6" xr3:uid="{00000000-0010-0000-0400-000006000000}" name="Столбец6" headerRowDxfId="203" dataDxfId="202">
      <calculatedColumnFormula>IF(Таблица18[[#This Row],[Столбец1]]="","",INDEX(Лист2!$A$8:$O$179,MATCH(A32,Лист2!$B$8:$B$179,0),7))</calculatedColumnFormula>
    </tableColumn>
    <tableColumn id="7" xr3:uid="{00000000-0010-0000-0400-000007000000}" name="Столбец7" headerRowDxfId="201" dataDxfId="200">
      <calculatedColumnFormula>IF(Таблица18[[#This Row],[Столбец1]]="","",INDEX(Лист2!$A$8:$O$179,MATCH(A32,Лист2!$B$8:$B$179,0),8))</calculatedColumnFormula>
    </tableColumn>
    <tableColumn id="8" xr3:uid="{00000000-0010-0000-0400-000008000000}" name="Столбец8" dataDxfId="199">
      <calculatedColumnFormula>IF(OR(Таблица18[[#This Row],[Столбец1]]="",Таблица18[[#This Row],[Столбец4]]="отсутствует"),"",INDEX(Лист2!$A$8:$O$179,MATCH(A32,Лист2!$B$8:$B$179,0),9))</calculatedColumnFormula>
    </tableColumn>
    <tableColumn id="9" xr3:uid="{00000000-0010-0000-0400-000009000000}" name="Столбец9" dataDxfId="198">
      <calculatedColumnFormula>IF(OR(Таблица18[[#This Row],[Столбец1]]="",Таблица18[[#This Row],[Столбец4]]="отсутствует"),"",INDEX(Лист2!$A$8:$O$179,MATCH(A32,Лист2!$B$8:$B$179,0),10))</calculatedColumnFormula>
    </tableColumn>
    <tableColumn id="10" xr3:uid="{00000000-0010-0000-0400-00000A000000}" name="Столбец10" dataDxfId="197">
      <calculatedColumnFormula>IF(OR(Таблица18[[#This Row],[Столбец1]]="",Таблица18[[#This Row],[Столбец4]]="отсутствует"),"",INDEX(Лист2!$A$8:$O$179,MATCH(A32,Лист2!$B$8:$B$179,0),11))</calculatedColumnFormula>
    </tableColumn>
    <tableColumn id="11" xr3:uid="{00000000-0010-0000-0400-00000B000000}" name="Столбец11" dataDxfId="196">
      <calculatedColumnFormula>IF(OR(Таблица18[[#This Row],[Столбец1]]="",Таблица18[[#This Row],[Столбец4]]="отсутствует"),"",INDEX(Лист2!$A$8:$O$179,MATCH(A32,Лист2!$B$8:$B$179,0),12))</calculatedColumnFormula>
    </tableColumn>
    <tableColumn id="12" xr3:uid="{00000000-0010-0000-0400-00000C000000}" name="Столбец12" dataDxfId="195">
      <calculatedColumnFormula>IF(OR(Таблица18[[#This Row],[Столбец1]]="",Таблица18[[#This Row],[Столбец4]]="отсутствует"),"",INDEX(Лист2!$A$8:$O$179,MATCH(A32,Лист2!$B$8:$B$179,0),13))</calculatedColumnFormula>
    </tableColumn>
    <tableColumn id="13" xr3:uid="{00000000-0010-0000-0400-00000D000000}" name="Столбец13" dataDxfId="194">
      <calculatedColumnFormula>IF(OR(Таблица18[[#This Row],[Столбец1]]="",Таблица18[[#This Row],[Столбец4]]="отсутствует"),"",INDEX(Лист2!$A$8:$O$179,MATCH(A32,Лист2!$B$8:$B$179,0),14))</calculatedColumnFormula>
    </tableColumn>
    <tableColumn id="14" xr3:uid="{00000000-0010-0000-0400-00000E000000}" name="Столбец14" dataDxfId="193">
      <calculatedColumnFormula>IF(Таблица18[[#This Row],[Столбец1]]="","",IF(INDEX(Лист2!$A$8:$O$179,MATCH(A32,Лист2!$B$8:$B$179,0),15)=0,"",INDEX(Лист2!$A$8:$O$179,MATCH(A32,Лист2!$B$8:$B$179,0),15)))</calculatedColumnFormula>
    </tableColumn>
  </tableColumns>
  <tableStyleInfo showFirstColumn="0" showLastColumn="0" showRowStripes="0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5000000}" name="Таблица1821" displayName="Таблица1821" ref="A40:N42" headerRowCount="0" totalsRowShown="0" headerRowDxfId="192" dataDxfId="191">
  <tableColumns count="14">
    <tableColumn id="1" xr3:uid="{00000000-0010-0000-0500-000001000000}" name="Столбец1" dataDxfId="190"/>
    <tableColumn id="2" xr3:uid="{00000000-0010-0000-0500-000002000000}" name="Столбец2" dataDxfId="189">
      <calculatedColumnFormula>IF(Таблица1821[[#This Row],[Столбец1]]="","",INDEX(Лист2!$A$8:$O$14,MATCH(A40,Лист2!$B$8:$B$14,0),3))</calculatedColumnFormula>
    </tableColumn>
    <tableColumn id="3" xr3:uid="{00000000-0010-0000-0500-000003000000}" name="Столбец3" dataDxfId="188">
      <calculatedColumnFormula>IF(Таблица1821[[#This Row],[Столбец1]]="","",INDEX(Лист2!$A$8:$O$14,MATCH(A40,Лист2!$B$8:$B$14,0),4))</calculatedColumnFormula>
    </tableColumn>
    <tableColumn id="4" xr3:uid="{00000000-0010-0000-0500-000004000000}" name="Столбец4" dataDxfId="187">
      <calculatedColumnFormula>IF(Таблица1821[[#This Row],[Столбец1]]="","",INDEX(Лист2!$A$8:$O$14,MATCH(A40,Лист2!$B$8:$B$14,0),5))</calculatedColumnFormula>
    </tableColumn>
    <tableColumn id="5" xr3:uid="{00000000-0010-0000-0500-000005000000}" name="Столбец5" headerRowDxfId="186" dataDxfId="185">
      <calculatedColumnFormula>IF(Таблица1821[[#This Row],[Столбец1]]="","",INDEX(Лист2!$A$8:$O$14,MATCH(A40,Лист2!$B$8:$B$14,0),6))</calculatedColumnFormula>
    </tableColumn>
    <tableColumn id="6" xr3:uid="{00000000-0010-0000-0500-000006000000}" name="Столбец6" headerRowDxfId="184" dataDxfId="183">
      <calculatedColumnFormula>IF(Таблица1821[[#This Row],[Столбец1]]="","",INDEX(Лист2!$A$8:$O$14,MATCH(A40,Лист2!$B$8:$B$14,0),7))</calculatedColumnFormula>
    </tableColumn>
    <tableColumn id="7" xr3:uid="{00000000-0010-0000-0500-000007000000}" name="Столбец7" headerRowDxfId="182" dataDxfId="181">
      <calculatedColumnFormula>IF(Таблица1821[[#This Row],[Столбец1]]="","",INDEX(Лист2!$A$8:$O$179,MATCH(A40,Лист2!$B$8:$B$179,0),8))</calculatedColumnFormula>
    </tableColumn>
    <tableColumn id="8" xr3:uid="{00000000-0010-0000-0500-000008000000}" name="Столбец8" dataDxfId="180">
      <calculatedColumnFormula>IF(OR(Таблица1821[[#This Row],[Столбец1]]="",Таблица1821[[#This Row],[Столбец4]]="отсутствует"),"",INDEX(Лист2!$A$8:$O$179,MATCH(A40,Лист2!$B$8:$B$179,0),9))</calculatedColumnFormula>
    </tableColumn>
    <tableColumn id="9" xr3:uid="{00000000-0010-0000-0500-000009000000}" name="Столбец9" dataDxfId="179">
      <calculatedColumnFormula>IF(OR(Таблица1821[[#This Row],[Столбец1]]="",Таблица1821[[#This Row],[Столбец4]]="отсутствует"),"",INDEX(Лист2!$A$8:$O$179,MATCH(A40,Лист2!$B$8:$B$179,0),10))</calculatedColumnFormula>
    </tableColumn>
    <tableColumn id="10" xr3:uid="{00000000-0010-0000-0500-00000A000000}" name="Столбец10" dataDxfId="178">
      <calculatedColumnFormula>IF(OR(Таблица1821[[#This Row],[Столбец1]]="",Таблица1821[[#This Row],[Столбец4]]="отсутствует"),"",INDEX(Лист2!$A$8:$O$179,MATCH(A40,Лист2!$B$8:$B$179,0),11))</calculatedColumnFormula>
    </tableColumn>
    <tableColumn id="11" xr3:uid="{00000000-0010-0000-0500-00000B000000}" name="Столбец11" dataDxfId="177">
      <calculatedColumnFormula>IF(OR(Таблица1821[[#This Row],[Столбец1]]="",Таблица1821[[#This Row],[Столбец4]]="отсутствует"),"",INDEX(Лист2!$A$8:$O$179,MATCH(A40,Лист2!$B$8:$B$179,0),12))</calculatedColumnFormula>
    </tableColumn>
    <tableColumn id="12" xr3:uid="{00000000-0010-0000-0500-00000C000000}" name="Столбец12" dataDxfId="176">
      <calculatedColumnFormula>IF(OR(Таблица1821[[#This Row],[Столбец1]]="",Таблица1821[[#This Row],[Столбец4]]="отсутствует"),"",INDEX(Лист2!$A$8:$O$179,MATCH(A40,Лист2!$B$8:$B$179,0),13))</calculatedColumnFormula>
    </tableColumn>
    <tableColumn id="13" xr3:uid="{00000000-0010-0000-0500-00000D000000}" name="Столбец13" dataDxfId="175">
      <calculatedColumnFormula>IF(OR(Таблица1821[[#This Row],[Столбец1]]="",Таблица1821[[#This Row],[Столбец4]]="отсутствует"),"",INDEX(Лист2!$A$8:$O$179,MATCH(A40,Лист2!$B$8:$B$179,0),14))</calculatedColumnFormula>
    </tableColumn>
    <tableColumn id="14" xr3:uid="{00000000-0010-0000-0500-00000E000000}" name="Столбец14" dataDxfId="174">
      <calculatedColumnFormula>IF(Таблица1821[[#This Row],[Столбец1]]="","",IF(INDEX(Лист2!$A$8:$O$179,MATCH(A40,Лист2!$B$8:$B$179,0),15)=0,"",INDEX(Лист2!$A$8:$O$179,MATCH(A40,Лист2!$B$8:$B$179,0),15)))</calculatedColumnFormula>
    </tableColumn>
  </tableColumns>
  <tableStyleInfo showFirstColumn="0" showLastColumn="0" showRowStripes="0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6000000}" name="Таблица182123" displayName="Таблица182123" ref="A44:N53" headerRowCount="0" totalsRowShown="0" headerRowDxfId="173" dataDxfId="172">
  <tableColumns count="14">
    <tableColumn id="1" xr3:uid="{00000000-0010-0000-0600-000001000000}" name="Столбец1" dataDxfId="171"/>
    <tableColumn id="2" xr3:uid="{00000000-0010-0000-0600-000002000000}" name="Столбец2" dataDxfId="170">
      <calculatedColumnFormula>IF(Таблица182123[[#This Row],[Столбец1]]="","",INDEX(Лист2!$A$8:$O$179,MATCH(A44,Лист2!$B$8:$B$179,0),3))</calculatedColumnFormula>
    </tableColumn>
    <tableColumn id="3" xr3:uid="{00000000-0010-0000-0600-000003000000}" name="Столбец3" dataDxfId="169">
      <calculatedColumnFormula>IF(Таблица182123[[#This Row],[Столбец1]]="","",INDEX(Лист2!$A$8:$O$14,MATCH(A44,Лист2!$B$8:$B$14,0),4))</calculatedColumnFormula>
    </tableColumn>
    <tableColumn id="4" xr3:uid="{00000000-0010-0000-0600-000004000000}" name="Столбец4" dataDxfId="168">
      <calculatedColumnFormula>IF(Таблица182123[[#This Row],[Столбец1]]="","",INDEX(Лист2!$A$8:$O$179,MATCH(A44,Лист2!$B$8:$B$14,0),5))</calculatedColumnFormula>
    </tableColumn>
    <tableColumn id="5" xr3:uid="{00000000-0010-0000-0600-000005000000}" name="Столбец5" headerRowDxfId="167" dataDxfId="166">
      <calculatedColumnFormula>IF(Таблица182123[[#This Row],[Столбец1]]="","",INDEX(Лист2!$A$8:$O$14,MATCH(A44,Лист2!$B$8:$B$14,0),6))</calculatedColumnFormula>
    </tableColumn>
    <tableColumn id="6" xr3:uid="{00000000-0010-0000-0600-000006000000}" name="Столбец6" headerRowDxfId="165" dataDxfId="164">
      <calculatedColumnFormula>IF(Таблица182123[[#This Row],[Столбец1]]="","",INDEX(Лист2!$A$8:$O$14,MATCH(A44,Лист2!$B$8:$B$14,0),7))</calculatedColumnFormula>
    </tableColumn>
    <tableColumn id="7" xr3:uid="{00000000-0010-0000-0600-000007000000}" name="Столбец7" headerRowDxfId="163" dataDxfId="162">
      <calculatedColumnFormula>IF(Таблица182123[[#This Row],[Столбец1]]="","",INDEX(Лист2!$A$8:$O$14,MATCH(A44,Лист2!$B$8:$B$14,0),8))</calculatedColumnFormula>
    </tableColumn>
    <tableColumn id="8" xr3:uid="{00000000-0010-0000-0600-000008000000}" name="Столбец8" dataDxfId="161">
      <calculatedColumnFormula>IF(OR(Таблица182123[[#This Row],[Столбец1]]="",Таблица182123[[#This Row],[Столбец4]]="отсутствует"),"",INDEX(Лист2!$A$8:$O$14,MATCH(A44,Лист2!$B$8:$B$14,0),9))</calculatedColumnFormula>
    </tableColumn>
    <tableColumn id="9" xr3:uid="{00000000-0010-0000-0600-000009000000}" name="Столбец9" dataDxfId="160">
      <calculatedColumnFormula>IF(OR(Таблица182123[[#This Row],[Столбец1]]="",Таблица182123[[#This Row],[Столбец4]]="отсутствует"),"",INDEX(Лист2!$A$8:$O$14,MATCH(A44,Лист2!$B$8:$B$14,0),10))</calculatedColumnFormula>
    </tableColumn>
    <tableColumn id="10" xr3:uid="{00000000-0010-0000-0600-00000A000000}" name="Столбец10" dataDxfId="159">
      <calculatedColumnFormula>IF(OR(Таблица182123[[#This Row],[Столбец1]]="",Таблица182123[[#This Row],[Столбец4]]="отсутствует"),"",INDEX(Лист2!$A$8:$O$14,MATCH(A44,Лист2!$B$8:$B$14,0),11))</calculatedColumnFormula>
    </tableColumn>
    <tableColumn id="11" xr3:uid="{00000000-0010-0000-0600-00000B000000}" name="Столбец11" dataDxfId="158">
      <calculatedColumnFormula>IF(OR(Таблица182123[[#This Row],[Столбец1]]="",Таблица182123[[#This Row],[Столбец4]]="отсутствует"),"",INDEX(Лист2!$A$8:$O$14,MATCH(A44,Лист2!$B$8:$B$14,0),12))</calculatedColumnFormula>
    </tableColumn>
    <tableColumn id="12" xr3:uid="{00000000-0010-0000-0600-00000C000000}" name="Столбец12" dataDxfId="157">
      <calculatedColumnFormula>IF(OR(Таблица182123[[#This Row],[Столбец1]]="",Таблица182123[[#This Row],[Столбец4]]="отсутствует"),"",INDEX(Лист2!$A$8:$O$14,MATCH(A44,Лист2!$B$8:$B$14,0),13))</calculatedColumnFormula>
    </tableColumn>
    <tableColumn id="13" xr3:uid="{00000000-0010-0000-0600-00000D000000}" name="Столбец13" dataDxfId="156">
      <calculatedColumnFormula>IF(OR(Таблица182123[[#This Row],[Столбец1]]="",Таблица182123[[#This Row],[Столбец4]]="отсутствует"),"",INDEX(Лист2!$A$8:$O$14,MATCH(A44,Лист2!$B$8:$B$14,0),14))</calculatedColumnFormula>
    </tableColumn>
    <tableColumn id="14" xr3:uid="{00000000-0010-0000-0600-00000E000000}" name="Столбец14" dataDxfId="155">
      <calculatedColumnFormula>IF(Таблица182123[[#This Row],[Столбец1]]="","",IF(INDEX(Лист2!$A$8:$O$14,MATCH(A44,Лист2!$B$8:$B$14,0),15)=0,"",INDEX(Лист2!$A$8:$O$14,MATCH(A44,Лист2!$B$8:$B$14,0),15)))</calculatedColumnFormula>
    </tableColumn>
  </tableColumns>
  <tableStyleInfo showFirstColumn="0" showLastColumn="0" showRowStripes="0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7000000}" name="Таблица182124" displayName="Таблица182124" ref="A55:N62" headerRowCount="0" totalsRowShown="0" headerRowDxfId="154" dataDxfId="153">
  <tableColumns count="14">
    <tableColumn id="1" xr3:uid="{00000000-0010-0000-0700-000001000000}" name="Столбец1" dataDxfId="152"/>
    <tableColumn id="2" xr3:uid="{00000000-0010-0000-0700-000002000000}" name="Столбец2" dataDxfId="151">
      <calculatedColumnFormula>IF(Таблица182124[[#This Row],[Столбец1]]="","",INDEX(Лист2!$A$8:$O$14,MATCH(A55,Лист2!$B$8:$B$14,0),3))</calculatedColumnFormula>
    </tableColumn>
    <tableColumn id="3" xr3:uid="{00000000-0010-0000-0700-000003000000}" name="Столбец3" dataDxfId="150">
      <calculatedColumnFormula>IF(Таблица182124[[#This Row],[Столбец1]]="","",INDEX(Лист2!$A$8:$O$14,MATCH(A55,Лист2!$B$8:$B$14,0),4))</calculatedColumnFormula>
    </tableColumn>
    <tableColumn id="4" xr3:uid="{00000000-0010-0000-0700-000004000000}" name="Столбец4" dataDxfId="149">
      <calculatedColumnFormula>IF(Таблица182124[[#This Row],[Столбец1]]="","",INDEX(Лист2!$A$8:$O$14,MATCH(A55,Лист2!$B$8:$B$14,0),5))</calculatedColumnFormula>
    </tableColumn>
    <tableColumn id="5" xr3:uid="{00000000-0010-0000-0700-000005000000}" name="Столбец5" headerRowDxfId="148" dataDxfId="147">
      <calculatedColumnFormula>IF(Таблица182124[[#This Row],[Столбец1]]="","",INDEX(Лист2!$A$8:$O$14,MATCH(A55,Лист2!$B$8:$B$14,0),6))</calculatedColumnFormula>
    </tableColumn>
    <tableColumn id="6" xr3:uid="{00000000-0010-0000-0700-000006000000}" name="Столбец6" headerRowDxfId="146" dataDxfId="145">
      <calculatedColumnFormula>IF(Таблица182124[[#This Row],[Столбец1]]="","",INDEX(Лист2!$A$8:$O$14,MATCH(A55,Лист2!$B$8:$B$14,0),7))</calculatedColumnFormula>
    </tableColumn>
    <tableColumn id="7" xr3:uid="{00000000-0010-0000-0700-000007000000}" name="Столбец7" headerRowDxfId="144" dataDxfId="143">
      <calculatedColumnFormula>IF(Таблица182124[[#This Row],[Столбец1]]="","",INDEX(Лист2!$A$8:$O$14,MATCH(A55,Лист2!$B$8:$B$14,0),8))</calculatedColumnFormula>
    </tableColumn>
    <tableColumn id="8" xr3:uid="{00000000-0010-0000-0700-000008000000}" name="Столбец8" dataDxfId="142">
      <calculatedColumnFormula>IF(OR(Таблица182124[[#This Row],[Столбец1]]="",Таблица182124[[#This Row],[Столбец4]]="отсутствует"),"",INDEX(Лист2!$A$8:$O$14,MATCH(A55,Лист2!$B$8:$B$14,0),9))</calculatedColumnFormula>
    </tableColumn>
    <tableColumn id="9" xr3:uid="{00000000-0010-0000-0700-000009000000}" name="Столбец9" dataDxfId="141">
      <calculatedColumnFormula>IF(OR(Таблица182124[[#This Row],[Столбец1]]="",Таблица182124[[#This Row],[Столбец4]]="отсутствует"),"",INDEX(Лист2!$A$8:$O$14,MATCH(A55,Лист2!$B$8:$B$14,0),10))</calculatedColumnFormula>
    </tableColumn>
    <tableColumn id="10" xr3:uid="{00000000-0010-0000-0700-00000A000000}" name="Столбец10" dataDxfId="140">
      <calculatedColumnFormula>IF(OR(Таблица182124[[#This Row],[Столбец1]]="",Таблица182124[[#This Row],[Столбец4]]="отсутствует"),"",INDEX(Лист2!$A$8:$O$14,MATCH(A55,Лист2!$B$8:$B$14,0),11))</calculatedColumnFormula>
    </tableColumn>
    <tableColumn id="11" xr3:uid="{00000000-0010-0000-0700-00000B000000}" name="Столбец11" dataDxfId="139">
      <calculatedColumnFormula>IF(OR(Таблица182124[[#This Row],[Столбец1]]="",Таблица182124[[#This Row],[Столбец4]]="отсутствует"),"",INDEX(Лист2!$A$8:$O$14,MATCH(A55,Лист2!$B$8:$B$14,0),12))</calculatedColumnFormula>
    </tableColumn>
    <tableColumn id="12" xr3:uid="{00000000-0010-0000-0700-00000C000000}" name="Столбец12" dataDxfId="138">
      <calculatedColumnFormula>IF(OR(Таблица182124[[#This Row],[Столбец1]]="",Таблица182124[[#This Row],[Столбец4]]="отсутствует"),"",INDEX(Лист2!$A$8:$O$14,MATCH(A55,Лист2!$B$8:$B$14,0),13))</calculatedColumnFormula>
    </tableColumn>
    <tableColumn id="13" xr3:uid="{00000000-0010-0000-0700-00000D000000}" name="Столбец13" dataDxfId="137">
      <calculatedColumnFormula>IF(OR(Таблица182124[[#This Row],[Столбец1]]="",Таблица182124[[#This Row],[Столбец4]]="отсутствует"),"",INDEX(Лист2!$A$8:$O$14,MATCH(A55,Лист2!$B$8:$B$14,0),14))</calculatedColumnFormula>
    </tableColumn>
    <tableColumn id="14" xr3:uid="{00000000-0010-0000-0700-00000E000000}" name="Столбец14" dataDxfId="136">
      <calculatedColumnFormula>IF(Таблица182124[[#This Row],[Столбец1]]="","",IF(INDEX(Лист2!$A$8:$O$14,MATCH(A55,Лист2!$B$8:$B$14,0),15)=0,"",INDEX(Лист2!$A$8:$O$14,MATCH(A55,Лист2!$B$8:$B$14,0),15)))</calculatedColumnFormula>
    </tableColumn>
  </tableColumns>
  <tableStyleInfo showFirstColumn="0" showLastColumn="0" showRowStripes="0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08000000}" name="Таблица18212325" displayName="Таблица18212325" ref="A64:N71" headerRowCount="0" totalsRowShown="0" headerRowDxfId="135" dataDxfId="134">
  <tableColumns count="14">
    <tableColumn id="1" xr3:uid="{00000000-0010-0000-0800-000001000000}" name="Столбец1" dataDxfId="133"/>
    <tableColumn id="2" xr3:uid="{00000000-0010-0000-0800-000002000000}" name="Столбец2" dataDxfId="132">
      <calculatedColumnFormula>IF(Таблица18212325[[#This Row],[Столбец1]]="","",INDEX(Лист2!$A$8:$O$14,MATCH(A64,Лист2!$B$8:$B$14,0),3))</calculatedColumnFormula>
    </tableColumn>
    <tableColumn id="3" xr3:uid="{00000000-0010-0000-0800-000003000000}" name="Столбец3" dataDxfId="131">
      <calculatedColumnFormula>IF(Таблица18212325[[#This Row],[Столбец1]]="","",INDEX(Лист2!$A$8:$O$14,MATCH(A64,Лист2!$B$8:$B$14,0),4))</calculatedColumnFormula>
    </tableColumn>
    <tableColumn id="4" xr3:uid="{00000000-0010-0000-0800-000004000000}" name="Столбец4" dataDxfId="130">
      <calculatedColumnFormula>IF(Таблица18212325[[#This Row],[Столбец1]]="","",INDEX(Лист2!$A$8:$O$14,MATCH(A64,Лист2!$B$8:$B$14,0),5))</calculatedColumnFormula>
    </tableColumn>
    <tableColumn id="5" xr3:uid="{00000000-0010-0000-0800-000005000000}" name="Столбец5" headerRowDxfId="129" dataDxfId="128">
      <calculatedColumnFormula>IF(Таблица18212325[[#This Row],[Столбец1]]="","",INDEX(Лист2!$A$8:$O$14,MATCH(A64,Лист2!$B$8:$B$14,0),6))</calculatedColumnFormula>
    </tableColumn>
    <tableColumn id="6" xr3:uid="{00000000-0010-0000-0800-000006000000}" name="Столбец6" headerRowDxfId="127" dataDxfId="126">
      <calculatedColumnFormula>IF(Таблица18212325[[#This Row],[Столбец1]]="","",INDEX(Лист2!$A$8:$O$14,MATCH(A64,Лист2!$B$8:$B$14,0),7))</calculatedColumnFormula>
    </tableColumn>
    <tableColumn id="7" xr3:uid="{00000000-0010-0000-0800-000007000000}" name="Столбец7" headerRowDxfId="125" dataDxfId="124">
      <calculatedColumnFormula>IF(Таблица18212325[[#This Row],[Столбец1]]="","",INDEX(Лист2!$A$8:$O$14,MATCH(A64,Лист2!$B$8:$B$14,0),8))</calculatedColumnFormula>
    </tableColumn>
    <tableColumn id="8" xr3:uid="{00000000-0010-0000-0800-000008000000}" name="Столбец8" dataDxfId="123">
      <calculatedColumnFormula>IF(OR(Таблица18212325[[#This Row],[Столбец1]]="",Таблица18212325[[#This Row],[Столбец4]]="отсутствует"),"",INDEX(Лист2!$A$8:$O$14,MATCH(A64,Лист2!$B$8:$B$14,0),9))</calculatedColumnFormula>
    </tableColumn>
    <tableColumn id="9" xr3:uid="{00000000-0010-0000-0800-000009000000}" name="Столбец9" dataDxfId="122">
      <calculatedColumnFormula>IF(OR(Таблица18212325[[#This Row],[Столбец1]]="",Таблица18212325[[#This Row],[Столбец4]]="отсутствует"),"",INDEX(Лист2!$A$8:$O$14,MATCH(A64,Лист2!$B$8:$B$14,0),10))</calculatedColumnFormula>
    </tableColumn>
    <tableColumn id="10" xr3:uid="{00000000-0010-0000-0800-00000A000000}" name="Столбец10" dataDxfId="121">
      <calculatedColumnFormula>IF(OR(Таблица18212325[[#This Row],[Столбец1]]="",Таблица18212325[[#This Row],[Столбец4]]="отсутствует"),"",INDEX(Лист2!$A$8:$O$14,MATCH(A64,Лист2!$B$8:$B$14,0),11))</calculatedColumnFormula>
    </tableColumn>
    <tableColumn id="11" xr3:uid="{00000000-0010-0000-0800-00000B000000}" name="Столбец11" dataDxfId="120">
      <calculatedColumnFormula>IF(OR(Таблица18212325[[#This Row],[Столбец1]]="",Таблица18212325[[#This Row],[Столбец4]]="отсутствует"),"",INDEX(Лист2!$A$8:$O$14,MATCH(A64,Лист2!$B$8:$B$14,0),12))</calculatedColumnFormula>
    </tableColumn>
    <tableColumn id="12" xr3:uid="{00000000-0010-0000-0800-00000C000000}" name="Столбец12" dataDxfId="119">
      <calculatedColumnFormula>IF(OR(Таблица18212325[[#This Row],[Столбец1]]="",Таблица18212325[[#This Row],[Столбец4]]="отсутствует"),"",INDEX(Лист2!$A$8:$O$14,MATCH(A64,Лист2!$B$8:$B$14,0),13))</calculatedColumnFormula>
    </tableColumn>
    <tableColumn id="13" xr3:uid="{00000000-0010-0000-0800-00000D000000}" name="Столбец13" dataDxfId="118">
      <calculatedColumnFormula>IF(OR(Таблица18212325[[#This Row],[Столбец1]]="",Таблица18212325[[#This Row],[Столбец4]]="отсутствует"),"",INDEX(Лист2!$A$8:$O$14,MATCH(A64,Лист2!$B$8:$B$14,0),14))</calculatedColumnFormula>
    </tableColumn>
    <tableColumn id="14" xr3:uid="{00000000-0010-0000-0800-00000E000000}" name="Столбец14" dataDxfId="117">
      <calculatedColumnFormula>IF(Таблица18212325[[#This Row],[Столбец1]]="","",IF(INDEX(Лист2!$A$8:$O$14,MATCH(A64,Лист2!$B$8:$B$14,0),15)=0,"",INDEX(Лист2!$A$8:$O$14,MATCH(A64,Лист2!$B$8:$B$14,0),15)))</calculatedColumnFormula>
    </tableColumn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table" Target="../tables/table17.xml"/><Relationship Id="rId1" Type="http://schemas.openxmlformats.org/officeDocument/2006/relationships/vmlDrawing" Target="../drawings/vmlDrawing5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://www.orenburg-gov.ru/power/executive/komitet-po-profilaktike-korruptsionnykh-pravonarusheniy-orenburgskoy-oblasti.php" TargetMode="External"/><Relationship Id="rId1" Type="http://schemas.openxmlformats.org/officeDocument/2006/relationships/hyperlink" Target="http://www.orenburg-gov.ru/power/executive/inspektsiya-gosudarstvennoy-okhrany-obektov-kulturnogo-naslediya-orenburgskoy-oblasti.ph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1.xml"/><Relationship Id="rId4" Type="http://schemas.openxmlformats.org/officeDocument/2006/relationships/table" Target="../tables/table1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FF0000"/>
  </sheetPr>
  <dimension ref="A1:W175"/>
  <sheetViews>
    <sheetView workbookViewId="0">
      <selection activeCell="A146" sqref="A146:XFD146"/>
    </sheetView>
  </sheetViews>
  <sheetFormatPr defaultRowHeight="15" x14ac:dyDescent="0.25"/>
  <sheetData>
    <row r="1" spans="1:23" s="61" customFormat="1" ht="23.25" customHeight="1" x14ac:dyDescent="0.25">
      <c r="A1" s="166" t="s">
        <v>354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</row>
    <row r="2" spans="1:23" s="61" customFormat="1" ht="23.25" customHeight="1" x14ac:dyDescent="0.25">
      <c r="A2" s="166" t="s">
        <v>328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</row>
    <row r="3" spans="1:23" s="61" customFormat="1" ht="23.25" customHeight="1" x14ac:dyDescent="0.25">
      <c r="A3" s="166" t="s">
        <v>358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</row>
    <row r="5" spans="1:23" x14ac:dyDescent="0.25">
      <c r="A5" s="15" t="s">
        <v>114</v>
      </c>
    </row>
    <row r="7" spans="1:23" x14ac:dyDescent="0.25">
      <c r="A7" t="s">
        <v>119</v>
      </c>
    </row>
    <row r="8" spans="1:23" x14ac:dyDescent="0.25">
      <c r="A8" t="s">
        <v>334</v>
      </c>
    </row>
    <row r="9" spans="1:23" x14ac:dyDescent="0.25">
      <c r="A9" t="s">
        <v>115</v>
      </c>
    </row>
    <row r="10" spans="1:23" x14ac:dyDescent="0.25">
      <c r="A10" t="s">
        <v>331</v>
      </c>
    </row>
    <row r="11" spans="1:23" x14ac:dyDescent="0.25">
      <c r="A11" t="s">
        <v>332</v>
      </c>
    </row>
    <row r="12" spans="1:23" x14ac:dyDescent="0.25">
      <c r="A12" t="s">
        <v>333</v>
      </c>
    </row>
    <row r="13" spans="1:23" x14ac:dyDescent="0.25">
      <c r="A13" t="s">
        <v>336</v>
      </c>
    </row>
    <row r="14" spans="1:23" x14ac:dyDescent="0.25">
      <c r="A14" t="s">
        <v>337</v>
      </c>
    </row>
    <row r="15" spans="1:23" x14ac:dyDescent="0.25">
      <c r="B15" t="s">
        <v>314</v>
      </c>
    </row>
    <row r="16" spans="1:23" x14ac:dyDescent="0.25">
      <c r="B16" t="s">
        <v>315</v>
      </c>
    </row>
    <row r="17" spans="1:2" x14ac:dyDescent="0.25">
      <c r="B17" t="s">
        <v>316</v>
      </c>
    </row>
    <row r="18" spans="1:2" x14ac:dyDescent="0.25">
      <c r="B18" t="s">
        <v>317</v>
      </c>
    </row>
    <row r="19" spans="1:2" x14ac:dyDescent="0.25">
      <c r="A19" s="19" t="s">
        <v>327</v>
      </c>
    </row>
    <row r="21" spans="1:2" x14ac:dyDescent="0.25">
      <c r="A21" s="15" t="s">
        <v>116</v>
      </c>
    </row>
    <row r="22" spans="1:2" hidden="1" x14ac:dyDescent="0.25">
      <c r="A22" s="50" t="s">
        <v>117</v>
      </c>
    </row>
    <row r="23" spans="1:2" hidden="1" x14ac:dyDescent="0.25">
      <c r="A23" s="50" t="s">
        <v>118</v>
      </c>
    </row>
    <row r="24" spans="1:2" x14ac:dyDescent="0.25">
      <c r="A24" t="s">
        <v>131</v>
      </c>
    </row>
    <row r="25" spans="1:2" x14ac:dyDescent="0.25">
      <c r="A25" t="s">
        <v>132</v>
      </c>
    </row>
    <row r="26" spans="1:2" x14ac:dyDescent="0.25">
      <c r="A26" s="19" t="s">
        <v>133</v>
      </c>
    </row>
    <row r="27" spans="1:2" x14ac:dyDescent="0.25">
      <c r="A27" s="21" t="s">
        <v>134</v>
      </c>
    </row>
    <row r="28" spans="1:2" x14ac:dyDescent="0.25">
      <c r="A28" s="20"/>
      <c r="B28" s="21" t="s">
        <v>70</v>
      </c>
    </row>
    <row r="29" spans="1:2" x14ac:dyDescent="0.25">
      <c r="A29" s="20"/>
      <c r="B29" s="21" t="s">
        <v>71</v>
      </c>
    </row>
    <row r="30" spans="1:2" x14ac:dyDescent="0.25">
      <c r="A30" s="20"/>
      <c r="B30" s="21" t="s">
        <v>135</v>
      </c>
    </row>
    <row r="31" spans="1:2" x14ac:dyDescent="0.25">
      <c r="A31" s="20"/>
      <c r="B31" s="21" t="s">
        <v>72</v>
      </c>
    </row>
    <row r="32" spans="1:2" x14ac:dyDescent="0.25">
      <c r="A32" s="20"/>
      <c r="B32" s="21" t="s">
        <v>73</v>
      </c>
    </row>
    <row r="33" spans="1:2" x14ac:dyDescent="0.25">
      <c r="A33" s="21" t="s">
        <v>318</v>
      </c>
      <c r="B33" s="21"/>
    </row>
    <row r="34" spans="1:2" x14ac:dyDescent="0.25">
      <c r="A34" s="21"/>
      <c r="B34" s="21" t="s">
        <v>67</v>
      </c>
    </row>
    <row r="35" spans="1:2" x14ac:dyDescent="0.25">
      <c r="A35" s="21"/>
      <c r="B35" s="21" t="s">
        <v>66</v>
      </c>
    </row>
    <row r="36" spans="1:2" x14ac:dyDescent="0.25">
      <c r="A36" s="21"/>
      <c r="B36" s="21" t="s">
        <v>68</v>
      </c>
    </row>
    <row r="37" spans="1:2" x14ac:dyDescent="0.25">
      <c r="A37" s="21"/>
      <c r="B37" s="21" t="s">
        <v>136</v>
      </c>
    </row>
    <row r="38" spans="1:2" x14ac:dyDescent="0.25">
      <c r="A38" s="19" t="s">
        <v>137</v>
      </c>
    </row>
    <row r="39" spans="1:2" x14ac:dyDescent="0.25">
      <c r="A39" s="19" t="s">
        <v>138</v>
      </c>
    </row>
    <row r="40" spans="1:2" x14ac:dyDescent="0.25">
      <c r="B40" t="s">
        <v>129</v>
      </c>
    </row>
    <row r="41" spans="1:2" x14ac:dyDescent="0.25">
      <c r="B41" t="s">
        <v>124</v>
      </c>
    </row>
    <row r="42" spans="1:2" x14ac:dyDescent="0.25">
      <c r="B42" t="s">
        <v>125</v>
      </c>
    </row>
    <row r="43" spans="1:2" x14ac:dyDescent="0.25">
      <c r="B43" t="s">
        <v>126</v>
      </c>
    </row>
    <row r="44" spans="1:2" x14ac:dyDescent="0.25">
      <c r="B44" t="s">
        <v>127</v>
      </c>
    </row>
    <row r="45" spans="1:2" x14ac:dyDescent="0.25">
      <c r="B45" t="s">
        <v>128</v>
      </c>
    </row>
    <row r="46" spans="1:2" x14ac:dyDescent="0.25">
      <c r="B46" t="s">
        <v>130</v>
      </c>
    </row>
    <row r="47" spans="1:2" x14ac:dyDescent="0.25">
      <c r="A47" t="s">
        <v>335</v>
      </c>
    </row>
    <row r="48" spans="1:2" x14ac:dyDescent="0.25">
      <c r="A48" s="21" t="s">
        <v>324</v>
      </c>
    </row>
    <row r="49" spans="1:22" x14ac:dyDescent="0.25">
      <c r="B49" t="s">
        <v>143</v>
      </c>
    </row>
    <row r="50" spans="1:22" x14ac:dyDescent="0.25">
      <c r="B50" t="s">
        <v>74</v>
      </c>
    </row>
    <row r="51" spans="1:22" ht="45.75" customHeight="1" x14ac:dyDescent="0.25">
      <c r="B51" s="5">
        <v>1</v>
      </c>
      <c r="C51" s="165" t="s">
        <v>319</v>
      </c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</row>
    <row r="52" spans="1:22" x14ac:dyDescent="0.25">
      <c r="B52" s="5">
        <v>2</v>
      </c>
      <c r="C52" t="s">
        <v>320</v>
      </c>
    </row>
    <row r="53" spans="1:22" x14ac:dyDescent="0.25">
      <c r="B53" s="5">
        <v>3</v>
      </c>
      <c r="C53" t="s">
        <v>321</v>
      </c>
    </row>
    <row r="54" spans="1:22" ht="33" customHeight="1" x14ac:dyDescent="0.25">
      <c r="B54" s="5">
        <v>4</v>
      </c>
      <c r="C54" s="165" t="s">
        <v>322</v>
      </c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</row>
    <row r="55" spans="1:22" x14ac:dyDescent="0.25">
      <c r="B55" s="5">
        <v>5</v>
      </c>
      <c r="C55" t="s">
        <v>323</v>
      </c>
    </row>
    <row r="57" spans="1:22" x14ac:dyDescent="0.25">
      <c r="A57" t="s">
        <v>144</v>
      </c>
    </row>
    <row r="58" spans="1:22" x14ac:dyDescent="0.25">
      <c r="A58" t="s">
        <v>145</v>
      </c>
    </row>
    <row r="59" spans="1:22" x14ac:dyDescent="0.25">
      <c r="A59" t="s">
        <v>154</v>
      </c>
    </row>
    <row r="60" spans="1:22" x14ac:dyDescent="0.25">
      <c r="A60" t="s">
        <v>169</v>
      </c>
    </row>
    <row r="61" spans="1:22" x14ac:dyDescent="0.25">
      <c r="A61" t="s">
        <v>147</v>
      </c>
    </row>
    <row r="62" spans="1:22" x14ac:dyDescent="0.25">
      <c r="A62" t="s">
        <v>148</v>
      </c>
    </row>
    <row r="63" spans="1:22" x14ac:dyDescent="0.25">
      <c r="A63" t="s">
        <v>149</v>
      </c>
    </row>
    <row r="64" spans="1:22" x14ac:dyDescent="0.25">
      <c r="A64" t="s">
        <v>150</v>
      </c>
    </row>
    <row r="65" spans="1:1" x14ac:dyDescent="0.25">
      <c r="A65" t="s">
        <v>151</v>
      </c>
    </row>
    <row r="66" spans="1:1" x14ac:dyDescent="0.25">
      <c r="A66" t="s">
        <v>152</v>
      </c>
    </row>
    <row r="67" spans="1:1" x14ac:dyDescent="0.25">
      <c r="A67" t="s">
        <v>153</v>
      </c>
    </row>
    <row r="68" spans="1:1" x14ac:dyDescent="0.25">
      <c r="A68" t="s">
        <v>155</v>
      </c>
    </row>
    <row r="69" spans="1:1" x14ac:dyDescent="0.25">
      <c r="A69" t="s">
        <v>156</v>
      </c>
    </row>
    <row r="71" spans="1:1" hidden="1" x14ac:dyDescent="0.25"/>
    <row r="72" spans="1:1" hidden="1" x14ac:dyDescent="0.25">
      <c r="A72" s="15" t="s">
        <v>157</v>
      </c>
    </row>
    <row r="73" spans="1:1" hidden="1" x14ac:dyDescent="0.25">
      <c r="A73" s="19" t="s">
        <v>158</v>
      </c>
    </row>
    <row r="74" spans="1:1" hidden="1" x14ac:dyDescent="0.25">
      <c r="A74" s="21" t="s">
        <v>159</v>
      </c>
    </row>
    <row r="75" spans="1:1" hidden="1" x14ac:dyDescent="0.25">
      <c r="A75" s="21" t="s">
        <v>160</v>
      </c>
    </row>
    <row r="76" spans="1:1" hidden="1" x14ac:dyDescent="0.25">
      <c r="A76" t="s">
        <v>163</v>
      </c>
    </row>
    <row r="77" spans="1:1" hidden="1" x14ac:dyDescent="0.25">
      <c r="A77" t="s">
        <v>161</v>
      </c>
    </row>
    <row r="78" spans="1:1" hidden="1" x14ac:dyDescent="0.25">
      <c r="A78" t="s">
        <v>162</v>
      </c>
    </row>
    <row r="79" spans="1:1" hidden="1" x14ac:dyDescent="0.25">
      <c r="A79" t="s">
        <v>164</v>
      </c>
    </row>
    <row r="80" spans="1:1" hidden="1" x14ac:dyDescent="0.25">
      <c r="A80" t="s">
        <v>165</v>
      </c>
    </row>
    <row r="81" spans="1:2" hidden="1" x14ac:dyDescent="0.25">
      <c r="A81" t="s">
        <v>166</v>
      </c>
    </row>
    <row r="82" spans="1:2" ht="13.5" hidden="1" customHeight="1" x14ac:dyDescent="0.25"/>
    <row r="84" spans="1:2" x14ac:dyDescent="0.25">
      <c r="A84" s="15" t="s">
        <v>325</v>
      </c>
    </row>
    <row r="85" spans="1:2" x14ac:dyDescent="0.25">
      <c r="A85" s="21" t="s">
        <v>159</v>
      </c>
    </row>
    <row r="86" spans="1:2" x14ac:dyDescent="0.25">
      <c r="A86" s="21" t="s">
        <v>160</v>
      </c>
    </row>
    <row r="87" spans="1:2" x14ac:dyDescent="0.25">
      <c r="A87" t="s">
        <v>170</v>
      </c>
    </row>
    <row r="88" spans="1:2" x14ac:dyDescent="0.25">
      <c r="A88" t="s">
        <v>172</v>
      </c>
    </row>
    <row r="89" spans="1:2" x14ac:dyDescent="0.25">
      <c r="A89" t="s">
        <v>171</v>
      </c>
    </row>
    <row r="90" spans="1:2" x14ac:dyDescent="0.25">
      <c r="A90" t="s">
        <v>173</v>
      </c>
    </row>
    <row r="91" spans="1:2" x14ac:dyDescent="0.25">
      <c r="A91" t="s">
        <v>174</v>
      </c>
    </row>
    <row r="92" spans="1:2" x14ac:dyDescent="0.25">
      <c r="B92" s="16" t="s">
        <v>176</v>
      </c>
    </row>
    <row r="93" spans="1:2" x14ac:dyDescent="0.25">
      <c r="B93" s="16" t="s">
        <v>177</v>
      </c>
    </row>
    <row r="94" spans="1:2" x14ac:dyDescent="0.25">
      <c r="B94" s="16" t="s">
        <v>175</v>
      </c>
    </row>
    <row r="95" spans="1:2" x14ac:dyDescent="0.25">
      <c r="A95" t="s">
        <v>179</v>
      </c>
    </row>
    <row r="96" spans="1:2" x14ac:dyDescent="0.25">
      <c r="A96" t="s">
        <v>178</v>
      </c>
    </row>
    <row r="99" spans="1:1" hidden="1" x14ac:dyDescent="0.25">
      <c r="A99" s="15" t="s">
        <v>180</v>
      </c>
    </row>
    <row r="100" spans="1:1" hidden="1" x14ac:dyDescent="0.25">
      <c r="A100" s="19" t="s">
        <v>181</v>
      </c>
    </row>
    <row r="101" spans="1:1" hidden="1" x14ac:dyDescent="0.25">
      <c r="A101" s="21" t="s">
        <v>159</v>
      </c>
    </row>
    <row r="102" spans="1:1" hidden="1" x14ac:dyDescent="0.25">
      <c r="A102" s="21" t="s">
        <v>160</v>
      </c>
    </row>
    <row r="103" spans="1:1" hidden="1" x14ac:dyDescent="0.25">
      <c r="A103" t="s">
        <v>184</v>
      </c>
    </row>
    <row r="104" spans="1:1" hidden="1" x14ac:dyDescent="0.25">
      <c r="A104" t="s">
        <v>188</v>
      </c>
    </row>
    <row r="105" spans="1:1" hidden="1" x14ac:dyDescent="0.25">
      <c r="A105" t="s">
        <v>189</v>
      </c>
    </row>
    <row r="106" spans="1:1" hidden="1" x14ac:dyDescent="0.25">
      <c r="A106" t="s">
        <v>190</v>
      </c>
    </row>
    <row r="107" spans="1:1" hidden="1" x14ac:dyDescent="0.25">
      <c r="A107" t="s">
        <v>191</v>
      </c>
    </row>
    <row r="108" spans="1:1" hidden="1" x14ac:dyDescent="0.25">
      <c r="A108" t="s">
        <v>192</v>
      </c>
    </row>
    <row r="109" spans="1:1" hidden="1" x14ac:dyDescent="0.25">
      <c r="A109" t="s">
        <v>193</v>
      </c>
    </row>
    <row r="110" spans="1:1" hidden="1" x14ac:dyDescent="0.25">
      <c r="A110" t="s">
        <v>194</v>
      </c>
    </row>
    <row r="111" spans="1:1" hidden="1" x14ac:dyDescent="0.25">
      <c r="A111" t="s">
        <v>195</v>
      </c>
    </row>
    <row r="112" spans="1:1" hidden="1" x14ac:dyDescent="0.25">
      <c r="A112" t="s">
        <v>196</v>
      </c>
    </row>
    <row r="113" spans="1:2" hidden="1" x14ac:dyDescent="0.25">
      <c r="A113" t="s">
        <v>197</v>
      </c>
    </row>
    <row r="114" spans="1:2" hidden="1" x14ac:dyDescent="0.25">
      <c r="A114" t="s">
        <v>198</v>
      </c>
    </row>
    <row r="115" spans="1:2" hidden="1" x14ac:dyDescent="0.25"/>
    <row r="116" spans="1:2" hidden="1" x14ac:dyDescent="0.25"/>
    <row r="117" spans="1:2" x14ac:dyDescent="0.25">
      <c r="A117" s="15" t="s">
        <v>199</v>
      </c>
    </row>
    <row r="118" spans="1:2" x14ac:dyDescent="0.25">
      <c r="A118" s="21" t="s">
        <v>159</v>
      </c>
    </row>
    <row r="119" spans="1:2" x14ac:dyDescent="0.25">
      <c r="A119" s="21" t="s">
        <v>160</v>
      </c>
    </row>
    <row r="120" spans="1:2" x14ac:dyDescent="0.25">
      <c r="A120" t="s">
        <v>200</v>
      </c>
    </row>
    <row r="123" spans="1:2" x14ac:dyDescent="0.25">
      <c r="A123" s="15" t="s">
        <v>201</v>
      </c>
    </row>
    <row r="124" spans="1:2" x14ac:dyDescent="0.25">
      <c r="A124" s="21" t="s">
        <v>159</v>
      </c>
    </row>
    <row r="125" spans="1:2" x14ac:dyDescent="0.25">
      <c r="A125" s="21" t="s">
        <v>160</v>
      </c>
    </row>
    <row r="126" spans="1:2" x14ac:dyDescent="0.25">
      <c r="A126" t="s">
        <v>202</v>
      </c>
    </row>
    <row r="127" spans="1:2" x14ac:dyDescent="0.25">
      <c r="A127" t="s">
        <v>203</v>
      </c>
    </row>
    <row r="128" spans="1:2" x14ac:dyDescent="0.25">
      <c r="B128" t="s">
        <v>204</v>
      </c>
    </row>
    <row r="129" spans="1:3" x14ac:dyDescent="0.25">
      <c r="C129" t="s">
        <v>205</v>
      </c>
    </row>
    <row r="130" spans="1:3" x14ac:dyDescent="0.25">
      <c r="C130" t="s">
        <v>206</v>
      </c>
    </row>
    <row r="131" spans="1:3" x14ac:dyDescent="0.25">
      <c r="C131" t="s">
        <v>207</v>
      </c>
    </row>
    <row r="132" spans="1:3" x14ac:dyDescent="0.25">
      <c r="B132" t="s">
        <v>208</v>
      </c>
    </row>
    <row r="133" spans="1:3" x14ac:dyDescent="0.25">
      <c r="A133" t="s">
        <v>233</v>
      </c>
      <c r="B133" t="s">
        <v>209</v>
      </c>
    </row>
    <row r="134" spans="1:3" x14ac:dyDescent="0.25">
      <c r="A134" t="s">
        <v>210</v>
      </c>
    </row>
    <row r="135" spans="1:3" x14ac:dyDescent="0.25">
      <c r="A135" s="21" t="s">
        <v>214</v>
      </c>
    </row>
    <row r="136" spans="1:3" x14ac:dyDescent="0.25">
      <c r="A136" s="21" t="s">
        <v>224</v>
      </c>
    </row>
    <row r="137" spans="1:3" x14ac:dyDescent="0.25">
      <c r="A137" t="s">
        <v>225</v>
      </c>
    </row>
    <row r="138" spans="1:3" x14ac:dyDescent="0.25">
      <c r="A138" t="s">
        <v>226</v>
      </c>
    </row>
    <row r="139" spans="1:3" x14ac:dyDescent="0.25">
      <c r="A139" t="s">
        <v>227</v>
      </c>
    </row>
    <row r="140" spans="1:3" x14ac:dyDescent="0.25">
      <c r="A140" t="s">
        <v>228</v>
      </c>
    </row>
    <row r="141" spans="1:3" x14ac:dyDescent="0.25">
      <c r="A141" t="s">
        <v>229</v>
      </c>
    </row>
    <row r="142" spans="1:3" x14ac:dyDescent="0.25">
      <c r="A142" t="s">
        <v>230</v>
      </c>
    </row>
    <row r="143" spans="1:3" x14ac:dyDescent="0.25">
      <c r="A143" t="s">
        <v>231</v>
      </c>
    </row>
    <row r="144" spans="1:3" x14ac:dyDescent="0.25">
      <c r="A144" t="s">
        <v>232</v>
      </c>
    </row>
    <row r="146" spans="1:2" hidden="1" x14ac:dyDescent="0.25"/>
    <row r="147" spans="1:2" hidden="1" x14ac:dyDescent="0.25">
      <c r="A147" s="15" t="s">
        <v>234</v>
      </c>
    </row>
    <row r="148" spans="1:2" hidden="1" x14ac:dyDescent="0.25">
      <c r="A148" s="21" t="s">
        <v>159</v>
      </c>
    </row>
    <row r="149" spans="1:2" hidden="1" x14ac:dyDescent="0.25">
      <c r="A149" s="21" t="s">
        <v>160</v>
      </c>
    </row>
    <row r="150" spans="1:2" hidden="1" x14ac:dyDescent="0.25">
      <c r="A150" s="23" t="s">
        <v>235</v>
      </c>
    </row>
    <row r="151" spans="1:2" hidden="1" x14ac:dyDescent="0.25">
      <c r="B151" s="21" t="s">
        <v>237</v>
      </c>
    </row>
    <row r="152" spans="1:2" hidden="1" x14ac:dyDescent="0.25">
      <c r="B152" s="21" t="s">
        <v>238</v>
      </c>
    </row>
    <row r="153" spans="1:2" hidden="1" x14ac:dyDescent="0.25">
      <c r="B153" s="21" t="s">
        <v>236</v>
      </c>
    </row>
    <row r="154" spans="1:2" hidden="1" x14ac:dyDescent="0.25">
      <c r="A154" t="s">
        <v>239</v>
      </c>
    </row>
    <row r="155" spans="1:2" hidden="1" x14ac:dyDescent="0.25">
      <c r="A155" t="s">
        <v>240</v>
      </c>
    </row>
    <row r="156" spans="1:2" hidden="1" x14ac:dyDescent="0.25">
      <c r="A156" s="21" t="s">
        <v>246</v>
      </c>
      <c r="B156" s="21"/>
    </row>
    <row r="157" spans="1:2" hidden="1" x14ac:dyDescent="0.25">
      <c r="A157" s="21"/>
      <c r="B157" s="21" t="s">
        <v>241</v>
      </c>
    </row>
    <row r="158" spans="1:2" hidden="1" x14ac:dyDescent="0.25">
      <c r="A158" s="21"/>
      <c r="B158" s="21" t="s">
        <v>247</v>
      </c>
    </row>
    <row r="159" spans="1:2" hidden="1" x14ac:dyDescent="0.25">
      <c r="A159" s="21" t="s">
        <v>248</v>
      </c>
    </row>
    <row r="160" spans="1:2" hidden="1" x14ac:dyDescent="0.25">
      <c r="A160" s="21" t="s">
        <v>242</v>
      </c>
    </row>
    <row r="161" spans="1:3" hidden="1" x14ac:dyDescent="0.25">
      <c r="B161" t="s">
        <v>243</v>
      </c>
    </row>
    <row r="162" spans="1:3" hidden="1" x14ac:dyDescent="0.25">
      <c r="B162" t="s">
        <v>244</v>
      </c>
    </row>
    <row r="163" spans="1:3" hidden="1" x14ac:dyDescent="0.25">
      <c r="B163" t="s">
        <v>245</v>
      </c>
    </row>
    <row r="164" spans="1:3" hidden="1" x14ac:dyDescent="0.25">
      <c r="A164" s="21" t="s">
        <v>252</v>
      </c>
    </row>
    <row r="165" spans="1:3" hidden="1" x14ac:dyDescent="0.25">
      <c r="B165" s="21" t="s">
        <v>250</v>
      </c>
    </row>
    <row r="166" spans="1:3" hidden="1" x14ac:dyDescent="0.25">
      <c r="B166" s="21" t="s">
        <v>251</v>
      </c>
    </row>
    <row r="167" spans="1:3" hidden="1" x14ac:dyDescent="0.25">
      <c r="B167" s="21" t="s">
        <v>249</v>
      </c>
    </row>
    <row r="168" spans="1:3" hidden="1" x14ac:dyDescent="0.25">
      <c r="A168" s="21" t="s">
        <v>253</v>
      </c>
      <c r="B168" s="21"/>
    </row>
    <row r="169" spans="1:3" hidden="1" x14ac:dyDescent="0.25">
      <c r="A169" s="21"/>
      <c r="B169" s="24" t="s">
        <v>254</v>
      </c>
      <c r="C169" t="s">
        <v>259</v>
      </c>
    </row>
    <row r="170" spans="1:3" hidden="1" x14ac:dyDescent="0.25">
      <c r="A170" s="21"/>
      <c r="B170" s="24" t="s">
        <v>255</v>
      </c>
      <c r="C170" t="s">
        <v>260</v>
      </c>
    </row>
    <row r="171" spans="1:3" hidden="1" x14ac:dyDescent="0.25">
      <c r="A171" s="21"/>
      <c r="B171" s="24" t="s">
        <v>256</v>
      </c>
      <c r="C171" t="s">
        <v>261</v>
      </c>
    </row>
    <row r="172" spans="1:3" hidden="1" x14ac:dyDescent="0.25">
      <c r="A172" s="21"/>
      <c r="B172" s="24" t="s">
        <v>257</v>
      </c>
      <c r="C172" t="s">
        <v>262</v>
      </c>
    </row>
    <row r="173" spans="1:3" hidden="1" x14ac:dyDescent="0.25">
      <c r="A173" t="s">
        <v>258</v>
      </c>
    </row>
    <row r="175" spans="1:3" x14ac:dyDescent="0.25">
      <c r="A175" s="19" t="s">
        <v>338</v>
      </c>
    </row>
  </sheetData>
  <mergeCells count="5">
    <mergeCell ref="C51:V51"/>
    <mergeCell ref="C54:V54"/>
    <mergeCell ref="A1:W1"/>
    <mergeCell ref="A2:W2"/>
    <mergeCell ref="A3:W3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11"/>
  <dimension ref="A2:I101"/>
  <sheetViews>
    <sheetView workbookViewId="0">
      <selection activeCell="F11" sqref="F11"/>
    </sheetView>
  </sheetViews>
  <sheetFormatPr defaultRowHeight="15" x14ac:dyDescent="0.25"/>
  <cols>
    <col min="1" max="1" width="39.28515625" style="1" customWidth="1"/>
    <col min="2" max="2" width="21.7109375" style="1" customWidth="1"/>
    <col min="3" max="3" width="23.5703125" style="1" customWidth="1"/>
    <col min="4" max="4" width="21.42578125" style="1" customWidth="1"/>
    <col min="5" max="5" width="20.85546875" style="1" customWidth="1"/>
    <col min="6" max="6" width="21.28515625" style="11" customWidth="1"/>
    <col min="7" max="16384" width="9.140625" style="1"/>
  </cols>
  <sheetData>
    <row r="2" spans="1:6" ht="15.75" x14ac:dyDescent="0.25">
      <c r="A2" s="204" t="s">
        <v>234</v>
      </c>
      <c r="B2" s="204"/>
      <c r="C2" s="204"/>
      <c r="D2" s="204"/>
      <c r="E2" s="204"/>
      <c r="F2" s="204"/>
    </row>
    <row r="3" spans="1:6" ht="15.75" x14ac:dyDescent="0.25">
      <c r="A3" s="107"/>
      <c r="B3" s="107"/>
      <c r="C3" s="107"/>
      <c r="D3" s="107"/>
      <c r="E3" s="107"/>
      <c r="F3" s="88"/>
    </row>
    <row r="4" spans="1:6" ht="15.75" x14ac:dyDescent="0.25">
      <c r="A4" s="107"/>
      <c r="B4" s="107"/>
      <c r="C4" s="107"/>
      <c r="D4" s="107"/>
      <c r="E4" s="107"/>
      <c r="F4" s="88"/>
    </row>
    <row r="5" spans="1:6" ht="81" customHeight="1" x14ac:dyDescent="0.25">
      <c r="A5" s="114" t="s">
        <v>283</v>
      </c>
      <c r="B5" s="115" t="s">
        <v>296</v>
      </c>
      <c r="C5" s="115" t="s">
        <v>297</v>
      </c>
      <c r="D5" s="115" t="s">
        <v>339</v>
      </c>
      <c r="E5" s="115" t="s">
        <v>298</v>
      </c>
      <c r="F5" s="116" t="s">
        <v>340</v>
      </c>
    </row>
    <row r="6" spans="1:6" ht="31.5" x14ac:dyDescent="0.25">
      <c r="A6" s="79" t="s">
        <v>359</v>
      </c>
      <c r="B6" s="71" t="s">
        <v>103</v>
      </c>
      <c r="C6" s="71" t="s">
        <v>105</v>
      </c>
      <c r="D6" s="71" t="s">
        <v>107</v>
      </c>
      <c r="E6" s="71" t="s">
        <v>109</v>
      </c>
      <c r="F6" s="71" t="s">
        <v>264</v>
      </c>
    </row>
    <row r="7" spans="1:6" ht="31.5" x14ac:dyDescent="0.25">
      <c r="A7" s="79" t="s">
        <v>370</v>
      </c>
      <c r="B7" s="71" t="s">
        <v>103</v>
      </c>
      <c r="C7" s="71" t="s">
        <v>105</v>
      </c>
      <c r="D7" s="71" t="s">
        <v>107</v>
      </c>
      <c r="E7" s="71" t="s">
        <v>109</v>
      </c>
      <c r="F7" s="71" t="s">
        <v>264</v>
      </c>
    </row>
    <row r="8" spans="1:6" ht="31.5" x14ac:dyDescent="0.25">
      <c r="A8" s="79" t="s">
        <v>373</v>
      </c>
      <c r="B8" s="71" t="s">
        <v>103</v>
      </c>
      <c r="C8" s="71" t="s">
        <v>105</v>
      </c>
      <c r="D8" s="71" t="s">
        <v>107</v>
      </c>
      <c r="E8" s="71" t="s">
        <v>109</v>
      </c>
      <c r="F8" s="71" t="s">
        <v>264</v>
      </c>
    </row>
    <row r="9" spans="1:6" ht="31.5" x14ac:dyDescent="0.25">
      <c r="A9" s="79" t="s">
        <v>375</v>
      </c>
      <c r="B9" s="71" t="s">
        <v>103</v>
      </c>
      <c r="C9" s="71" t="s">
        <v>105</v>
      </c>
      <c r="D9" s="71" t="s">
        <v>107</v>
      </c>
      <c r="E9" s="71" t="s">
        <v>109</v>
      </c>
      <c r="F9" s="71" t="s">
        <v>264</v>
      </c>
    </row>
    <row r="10" spans="1:6" ht="31.5" x14ac:dyDescent="0.25">
      <c r="A10" s="79" t="s">
        <v>372</v>
      </c>
      <c r="B10" s="71" t="s">
        <v>103</v>
      </c>
      <c r="C10" s="71" t="s">
        <v>105</v>
      </c>
      <c r="D10" s="71" t="s">
        <v>107</v>
      </c>
      <c r="E10" s="71" t="s">
        <v>109</v>
      </c>
      <c r="F10" s="71" t="s">
        <v>264</v>
      </c>
    </row>
    <row r="11" spans="1:6" ht="63" x14ac:dyDescent="0.25">
      <c r="A11" s="79" t="s">
        <v>374</v>
      </c>
      <c r="B11" s="71" t="s">
        <v>103</v>
      </c>
      <c r="C11" s="71" t="s">
        <v>105</v>
      </c>
      <c r="D11" s="71" t="s">
        <v>108</v>
      </c>
      <c r="E11" s="71" t="s">
        <v>109</v>
      </c>
      <c r="F11" s="71" t="s">
        <v>266</v>
      </c>
    </row>
    <row r="12" spans="1:6" ht="31.5" x14ac:dyDescent="0.25">
      <c r="A12" s="79" t="s">
        <v>362</v>
      </c>
      <c r="B12" s="71" t="s">
        <v>103</v>
      </c>
      <c r="C12" s="71" t="s">
        <v>105</v>
      </c>
      <c r="D12" s="71" t="s">
        <v>107</v>
      </c>
      <c r="E12" s="71" t="s">
        <v>109</v>
      </c>
      <c r="F12" s="71" t="s">
        <v>266</v>
      </c>
    </row>
    <row r="13" spans="1:6" ht="47.25" x14ac:dyDescent="0.25">
      <c r="A13" s="79" t="s">
        <v>365</v>
      </c>
      <c r="B13" s="71" t="s">
        <v>103</v>
      </c>
      <c r="C13" s="71" t="s">
        <v>105</v>
      </c>
      <c r="D13" s="71" t="s">
        <v>107</v>
      </c>
      <c r="E13" s="71" t="s">
        <v>109</v>
      </c>
      <c r="F13" s="71" t="s">
        <v>266</v>
      </c>
    </row>
    <row r="14" spans="1:6" ht="31.5" x14ac:dyDescent="0.25">
      <c r="A14" s="79" t="s">
        <v>366</v>
      </c>
      <c r="B14" s="71" t="s">
        <v>103</v>
      </c>
      <c r="C14" s="71" t="s">
        <v>105</v>
      </c>
      <c r="D14" s="71" t="s">
        <v>107</v>
      </c>
      <c r="E14" s="71" t="s">
        <v>109</v>
      </c>
      <c r="F14" s="71" t="s">
        <v>266</v>
      </c>
    </row>
    <row r="15" spans="1:6" ht="31.5" x14ac:dyDescent="0.25">
      <c r="A15" s="79" t="s">
        <v>367</v>
      </c>
      <c r="B15" s="71" t="s">
        <v>377</v>
      </c>
      <c r="C15" s="71" t="s">
        <v>105</v>
      </c>
      <c r="D15" s="71" t="s">
        <v>107</v>
      </c>
      <c r="E15" s="71" t="s">
        <v>109</v>
      </c>
      <c r="F15" s="71" t="s">
        <v>266</v>
      </c>
    </row>
    <row r="16" spans="1:6" ht="31.5" x14ac:dyDescent="0.25">
      <c r="A16" s="79" t="s">
        <v>368</v>
      </c>
      <c r="B16" s="71" t="s">
        <v>103</v>
      </c>
      <c r="C16" s="71" t="s">
        <v>105</v>
      </c>
      <c r="D16" s="71" t="s">
        <v>107</v>
      </c>
      <c r="E16" s="71" t="s">
        <v>109</v>
      </c>
      <c r="F16" s="71" t="s">
        <v>264</v>
      </c>
    </row>
    <row r="17" spans="1:6" ht="31.5" x14ac:dyDescent="0.25">
      <c r="A17" s="79" t="s">
        <v>369</v>
      </c>
      <c r="B17" s="71" t="s">
        <v>103</v>
      </c>
      <c r="C17" s="71" t="s">
        <v>105</v>
      </c>
      <c r="D17" s="71" t="s">
        <v>108</v>
      </c>
      <c r="E17" s="71" t="s">
        <v>109</v>
      </c>
      <c r="F17" s="71" t="s">
        <v>266</v>
      </c>
    </row>
    <row r="18" spans="1:6" ht="31.5" x14ac:dyDescent="0.25">
      <c r="A18" s="105" t="s">
        <v>360</v>
      </c>
      <c r="B18" s="71" t="s">
        <v>103</v>
      </c>
      <c r="C18" s="71" t="s">
        <v>105</v>
      </c>
      <c r="D18" s="71" t="s">
        <v>108</v>
      </c>
      <c r="E18" s="71" t="s">
        <v>109</v>
      </c>
      <c r="F18" s="71" t="s">
        <v>266</v>
      </c>
    </row>
    <row r="19" spans="1:6" ht="31.5" x14ac:dyDescent="0.25">
      <c r="A19" s="69" t="s">
        <v>376</v>
      </c>
      <c r="B19" s="71" t="s">
        <v>103</v>
      </c>
      <c r="C19" s="71" t="s">
        <v>105</v>
      </c>
      <c r="D19" s="71" t="s">
        <v>107</v>
      </c>
      <c r="E19" s="71" t="s">
        <v>109</v>
      </c>
      <c r="F19" s="71" t="s">
        <v>264</v>
      </c>
    </row>
    <row r="20" spans="1:6" ht="31.5" x14ac:dyDescent="0.25">
      <c r="A20" s="79" t="s">
        <v>371</v>
      </c>
      <c r="B20" s="71" t="s">
        <v>103</v>
      </c>
      <c r="C20" s="71" t="s">
        <v>105</v>
      </c>
      <c r="D20" s="71" t="s">
        <v>107</v>
      </c>
      <c r="E20" s="79" t="s">
        <v>109</v>
      </c>
      <c r="F20" s="71" t="s">
        <v>266</v>
      </c>
    </row>
    <row r="21" spans="1:6" x14ac:dyDescent="0.25"/>
    <row r="22" spans="1:6" x14ac:dyDescent="0.25"/>
    <row r="23" spans="1:6" x14ac:dyDescent="0.25"/>
    <row r="24" spans="1:6" x14ac:dyDescent="0.25"/>
    <row r="25" spans="1:6" x14ac:dyDescent="0.25"/>
    <row r="26" spans="1:6" x14ac:dyDescent="0.25"/>
    <row r="27" spans="1:6" x14ac:dyDescent="0.25"/>
    <row r="28" spans="1:6" x14ac:dyDescent="0.25"/>
    <row r="29" spans="1:6" x14ac:dyDescent="0.25"/>
    <row r="30" spans="1:6" x14ac:dyDescent="0.25"/>
    <row r="31" spans="1:6" x14ac:dyDescent="0.25"/>
    <row r="32" spans="1:6" x14ac:dyDescent="0.25"/>
    <row r="33" spans="3:6" x14ac:dyDescent="0.25"/>
    <row r="34" spans="3:6" x14ac:dyDescent="0.25"/>
    <row r="35" spans="3:6" x14ac:dyDescent="0.25"/>
    <row r="36" spans="3:6" x14ac:dyDescent="0.25"/>
    <row r="37" spans="3:6" x14ac:dyDescent="0.25"/>
    <row r="38" spans="3:6" x14ac:dyDescent="0.25"/>
    <row r="39" spans="3:6" x14ac:dyDescent="0.25"/>
    <row r="40" spans="3:6" x14ac:dyDescent="0.25"/>
    <row r="41" spans="3:6" x14ac:dyDescent="0.25"/>
    <row r="42" spans="3:6" x14ac:dyDescent="0.25"/>
    <row r="43" spans="3:6" x14ac:dyDescent="0.25"/>
    <row r="44" spans="3:6" x14ac:dyDescent="0.25"/>
    <row r="45" spans="3:6" x14ac:dyDescent="0.25"/>
    <row r="46" spans="3:6" x14ac:dyDescent="0.25"/>
    <row r="47" spans="3:6" x14ac:dyDescent="0.25"/>
    <row r="48" spans="3:6" x14ac:dyDescent="0.25"/>
    <row r="49" spans="3:6" x14ac:dyDescent="0.25"/>
    <row r="50" spans="3:6" x14ac:dyDescent="0.25"/>
    <row r="51" spans="3:6" x14ac:dyDescent="0.25"/>
    <row r="52" spans="3:6" x14ac:dyDescent="0.25"/>
    <row r="53" spans="3:6" x14ac:dyDescent="0.25"/>
    <row r="54" spans="3:6" x14ac:dyDescent="0.25"/>
    <row r="55" spans="3:6" x14ac:dyDescent="0.25"/>
    <row r="56" spans="3:6" x14ac:dyDescent="0.25"/>
    <row r="57" spans="3:6" x14ac:dyDescent="0.25"/>
    <row r="58" spans="3:6" x14ac:dyDescent="0.25"/>
    <row r="59" spans="3:6" x14ac:dyDescent="0.25"/>
    <row r="60" spans="3:6" x14ac:dyDescent="0.25"/>
    <row r="61" spans="3:6" x14ac:dyDescent="0.25"/>
    <row r="62" spans="3:6" x14ac:dyDescent="0.25"/>
    <row r="63" spans="3:6" x14ac:dyDescent="0.25"/>
    <row r="64" spans="3:6" x14ac:dyDescent="0.25"/>
    <row r="65" spans="3:6" x14ac:dyDescent="0.25"/>
    <row r="66" spans="3:6" x14ac:dyDescent="0.25"/>
    <row r="67" spans="3:6" x14ac:dyDescent="0.25"/>
    <row r="68" spans="3:6" x14ac:dyDescent="0.25"/>
    <row r="69" spans="3:6" x14ac:dyDescent="0.25"/>
    <row r="70" spans="3:6" x14ac:dyDescent="0.25"/>
    <row r="71" spans="3:6" x14ac:dyDescent="0.25"/>
    <row r="72" spans="3:6" x14ac:dyDescent="0.25"/>
    <row r="73" spans="3:6" x14ac:dyDescent="0.25"/>
    <row r="74" spans="3:6" x14ac:dyDescent="0.25"/>
    <row r="75" spans="3:6" x14ac:dyDescent="0.25"/>
    <row r="76" spans="3:6" x14ac:dyDescent="0.25"/>
    <row r="77" spans="3:6" x14ac:dyDescent="0.25"/>
    <row r="78" spans="3:6" x14ac:dyDescent="0.25"/>
    <row r="79" spans="3:6" x14ac:dyDescent="0.25"/>
    <row r="80" spans="3:6" x14ac:dyDescent="0.25"/>
    <row r="81" spans="3:6" x14ac:dyDescent="0.25"/>
    <row r="82" spans="3:6" x14ac:dyDescent="0.25"/>
    <row r="83" spans="3:6" x14ac:dyDescent="0.25"/>
    <row r="84" spans="3:6" x14ac:dyDescent="0.25"/>
    <row r="85" spans="3:6" x14ac:dyDescent="0.25"/>
    <row r="86" spans="3:6" x14ac:dyDescent="0.25"/>
    <row r="87" spans="3:6" x14ac:dyDescent="0.25"/>
    <row r="88" spans="3:6" x14ac:dyDescent="0.25"/>
    <row r="89" spans="3:6" x14ac:dyDescent="0.25"/>
    <row r="90" spans="3:6" x14ac:dyDescent="0.25"/>
    <row r="91" spans="3:6" x14ac:dyDescent="0.25"/>
    <row r="92" spans="3:6" x14ac:dyDescent="0.25"/>
    <row r="93" spans="3:6" x14ac:dyDescent="0.25"/>
    <row r="94" spans="3:6" x14ac:dyDescent="0.25"/>
    <row r="95" spans="3:6" x14ac:dyDescent="0.25"/>
    <row r="96" spans="3:6" x14ac:dyDescent="0.25"/>
    <row r="97" spans="1:9" x14ac:dyDescent="0.25"/>
    <row r="98" spans="1:9" x14ac:dyDescent="0.25">
      <c r="A98" s="43"/>
      <c r="B98" s="43"/>
      <c r="C98" s="43"/>
      <c r="D98" s="43"/>
      <c r="F98" s="27"/>
    </row>
    <row r="101" spans="1:9" ht="21" x14ac:dyDescent="0.25">
      <c r="A101" s="195" t="s">
        <v>273</v>
      </c>
      <c r="B101" s="195"/>
      <c r="C101" s="195"/>
      <c r="D101" s="195"/>
      <c r="E101" s="195"/>
      <c r="F101" s="195"/>
      <c r="G101" s="195"/>
      <c r="H101" s="195"/>
      <c r="I101" s="195"/>
    </row>
  </sheetData>
  <mergeCells count="2">
    <mergeCell ref="A2:F2"/>
    <mergeCell ref="A101:I101"/>
  </mergeCells>
  <pageMargins left="0.7" right="0.7" top="0.75" bottom="0.75" header="0.3" footer="0.3"/>
  <legacyDrawing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900-000000000000}">
          <x14:formula1>
            <xm:f>Справочники!$F$17:$F$19</xm:f>
          </x14:formula1>
          <xm:sqref>C21:C98</xm:sqref>
        </x14:dataValidation>
        <x14:dataValidation type="list" allowBlank="1" showInputMessage="1" showErrorMessage="1" xr:uid="{00000000-0002-0000-0900-000001000000}">
          <x14:formula1>
            <xm:f>Справочники!$F$20:$F$22</xm:f>
          </x14:formula1>
          <xm:sqref>D21:D98</xm:sqref>
        </x14:dataValidation>
        <x14:dataValidation type="list" allowBlank="1" showInputMessage="1" showErrorMessage="1" xr:uid="{00000000-0002-0000-0900-000002000000}">
          <x14:formula1>
            <xm:f>Справочники!$F$33:$F$36</xm:f>
          </x14:formula1>
          <xm:sqref>E21:E98</xm:sqref>
        </x14:dataValidation>
        <x14:dataValidation type="list" allowBlank="1" showInputMessage="1" showErrorMessage="1" xr:uid="{00000000-0002-0000-0900-000003000000}">
          <x14:formula1>
            <xm:f>Справочники!$E$33:$E$37</xm:f>
          </x14:formula1>
          <xm:sqref>F21:F98</xm:sqref>
        </x14:dataValidation>
        <x14:dataValidation type="list" allowBlank="1" showInputMessage="1" showErrorMessage="1" xr:uid="{00000000-0002-0000-0900-000004000000}">
          <x14:formula1>
            <xm:f>Справочники!$F$14:$F$16</xm:f>
          </x14:formula1>
          <xm:sqref>B21:B98</xm:sqref>
        </x14:dataValidation>
        <x14:dataValidation type="list" allowBlank="1" showInputMessage="1" showErrorMessage="1" xr:uid="{00000000-0002-0000-0900-000005000000}">
          <x14:formula1>
            <xm:f>'Р 5. Финансирование'!#REF!</xm:f>
          </x14:formula1>
          <xm:sqref>A6:A20</xm:sqref>
        </x14:dataValidation>
        <x14:dataValidation type="list" allowBlank="1" showInputMessage="1" showErrorMessage="1" xr:uid="{00000000-0002-0000-0900-000006000000}">
          <x14:formula1>
            <xm:f>Справочники!#REF!</xm:f>
          </x14:formula1>
          <xm:sqref>B6:F20</xm:sqref>
        </x14:dataValidation>
        <x14:dataValidation type="list" allowBlank="1" showInputMessage="1" showErrorMessage="1" xr:uid="{00000000-0002-0000-0900-000007000000}">
          <x14:formula1>
            <xm:f>'Р 5. Финансирование'!$A$9:$A$194</xm:f>
          </x14:formula1>
          <xm:sqref>A21:A97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2"/>
  <dimension ref="A1:F53"/>
  <sheetViews>
    <sheetView zoomScaleNormal="100" workbookViewId="0">
      <selection activeCell="C19" sqref="C19"/>
    </sheetView>
  </sheetViews>
  <sheetFormatPr defaultRowHeight="15" x14ac:dyDescent="0.25"/>
  <cols>
    <col min="1" max="1" width="6.85546875" customWidth="1"/>
    <col min="2" max="2" width="42.42578125" customWidth="1"/>
    <col min="3" max="3" width="21.7109375" customWidth="1"/>
    <col min="4" max="4" width="11.42578125" customWidth="1"/>
    <col min="6" max="6" width="76.5703125" customWidth="1"/>
  </cols>
  <sheetData>
    <row r="1" spans="1:6" x14ac:dyDescent="0.25">
      <c r="A1" s="222">
        <v>1</v>
      </c>
      <c r="B1" s="222"/>
      <c r="C1" s="222"/>
      <c r="D1" s="222"/>
    </row>
    <row r="2" spans="1:6" ht="30" x14ac:dyDescent="0.25">
      <c r="A2" s="7" t="s">
        <v>13</v>
      </c>
      <c r="B2" s="7" t="s">
        <v>14</v>
      </c>
      <c r="C2" s="2" t="s">
        <v>15</v>
      </c>
      <c r="D2" s="7" t="s">
        <v>51</v>
      </c>
      <c r="F2" s="12"/>
    </row>
    <row r="3" spans="1:6" x14ac:dyDescent="0.25">
      <c r="A3" s="7"/>
      <c r="B3" s="7" t="s">
        <v>382</v>
      </c>
      <c r="C3" s="2"/>
      <c r="D3" s="7"/>
      <c r="E3" s="6" t="s">
        <v>74</v>
      </c>
      <c r="F3" s="6"/>
    </row>
    <row r="4" spans="1:6" ht="105" x14ac:dyDescent="0.25">
      <c r="A4" s="7">
        <v>1</v>
      </c>
      <c r="B4" s="8" t="s">
        <v>16</v>
      </c>
      <c r="C4" s="8" t="s">
        <v>31</v>
      </c>
      <c r="D4" s="9">
        <v>811</v>
      </c>
      <c r="E4" s="13">
        <v>1</v>
      </c>
      <c r="F4" s="8" t="s">
        <v>309</v>
      </c>
    </row>
    <row r="5" spans="1:6" ht="30" x14ac:dyDescent="0.25">
      <c r="A5" s="7">
        <v>2</v>
      </c>
      <c r="B5" s="8" t="s">
        <v>17</v>
      </c>
      <c r="C5" s="8" t="s">
        <v>32</v>
      </c>
      <c r="D5" s="9">
        <v>891</v>
      </c>
      <c r="E5" s="13">
        <v>2</v>
      </c>
      <c r="F5" s="8" t="s">
        <v>310</v>
      </c>
    </row>
    <row r="6" spans="1:6" ht="30" x14ac:dyDescent="0.25">
      <c r="A6" s="7">
        <v>3</v>
      </c>
      <c r="B6" s="8" t="s">
        <v>18</v>
      </c>
      <c r="C6" s="8" t="s">
        <v>33</v>
      </c>
      <c r="D6" s="9">
        <v>835</v>
      </c>
      <c r="E6" s="13">
        <v>3</v>
      </c>
      <c r="F6" s="8" t="s">
        <v>311</v>
      </c>
    </row>
    <row r="7" spans="1:6" ht="45" x14ac:dyDescent="0.25">
      <c r="A7" s="7">
        <v>4</v>
      </c>
      <c r="B7" s="8" t="s">
        <v>355</v>
      </c>
      <c r="C7" s="8" t="s">
        <v>356</v>
      </c>
      <c r="D7" s="9">
        <v>824</v>
      </c>
      <c r="E7" s="13"/>
      <c r="F7" s="8"/>
    </row>
    <row r="8" spans="1:6" ht="75" x14ac:dyDescent="0.25">
      <c r="A8" s="7">
        <v>5</v>
      </c>
      <c r="B8" s="8" t="s">
        <v>349</v>
      </c>
      <c r="C8" s="8" t="s">
        <v>34</v>
      </c>
      <c r="D8" s="9">
        <v>829</v>
      </c>
      <c r="E8" s="13">
        <v>4</v>
      </c>
      <c r="F8" s="8" t="s">
        <v>312</v>
      </c>
    </row>
    <row r="9" spans="1:6" ht="30" x14ac:dyDescent="0.25">
      <c r="A9" s="7">
        <v>6</v>
      </c>
      <c r="B9" s="8" t="s">
        <v>350</v>
      </c>
      <c r="C9" s="8" t="s">
        <v>35</v>
      </c>
      <c r="D9" s="9">
        <v>834</v>
      </c>
      <c r="E9" s="13">
        <v>5</v>
      </c>
      <c r="F9" s="8" t="s">
        <v>313</v>
      </c>
    </row>
    <row r="10" spans="1:6" ht="30" x14ac:dyDescent="0.25">
      <c r="A10" s="7">
        <v>7</v>
      </c>
      <c r="B10" s="8" t="s">
        <v>19</v>
      </c>
      <c r="C10" s="8" t="s">
        <v>52</v>
      </c>
      <c r="D10" s="9">
        <v>871</v>
      </c>
    </row>
    <row r="11" spans="1:6" ht="45" x14ac:dyDescent="0.25">
      <c r="A11" s="7">
        <v>8</v>
      </c>
      <c r="B11" s="8" t="s">
        <v>20</v>
      </c>
      <c r="C11" s="8" t="s">
        <v>36</v>
      </c>
      <c r="D11" s="9">
        <v>817</v>
      </c>
    </row>
    <row r="12" spans="1:6" ht="45" x14ac:dyDescent="0.25">
      <c r="A12" s="7">
        <v>9</v>
      </c>
      <c r="B12" s="8" t="s">
        <v>351</v>
      </c>
      <c r="C12" s="8" t="s">
        <v>37</v>
      </c>
      <c r="D12" s="9">
        <v>842</v>
      </c>
      <c r="F12" s="1" t="s">
        <v>83</v>
      </c>
    </row>
    <row r="13" spans="1:6" ht="45" x14ac:dyDescent="0.25">
      <c r="A13" s="7">
        <v>10</v>
      </c>
      <c r="B13" s="8" t="s">
        <v>352</v>
      </c>
      <c r="C13" s="8" t="s">
        <v>38</v>
      </c>
      <c r="D13" s="9">
        <v>851</v>
      </c>
      <c r="F13" s="1" t="s">
        <v>84</v>
      </c>
    </row>
    <row r="14" spans="1:6" ht="30" x14ac:dyDescent="0.25">
      <c r="A14" s="7">
        <v>11</v>
      </c>
      <c r="B14" s="8" t="s">
        <v>21</v>
      </c>
      <c r="C14" s="8" t="s">
        <v>39</v>
      </c>
      <c r="D14" s="9">
        <v>826</v>
      </c>
    </row>
    <row r="15" spans="1:6" ht="30" x14ac:dyDescent="0.25">
      <c r="A15" s="7">
        <v>12</v>
      </c>
      <c r="B15" s="8" t="s">
        <v>22</v>
      </c>
      <c r="C15" s="8" t="s">
        <v>40</v>
      </c>
      <c r="D15" s="9">
        <v>815</v>
      </c>
      <c r="F15" s="1" t="s">
        <v>103</v>
      </c>
    </row>
    <row r="16" spans="1:6" ht="45" x14ac:dyDescent="0.25">
      <c r="A16" s="7">
        <v>13</v>
      </c>
      <c r="B16" s="8" t="s">
        <v>353</v>
      </c>
      <c r="C16" s="8" t="s">
        <v>42</v>
      </c>
      <c r="D16" s="9">
        <v>816</v>
      </c>
      <c r="F16" s="1" t="s">
        <v>104</v>
      </c>
    </row>
    <row r="17" spans="1:6" ht="30" x14ac:dyDescent="0.25">
      <c r="A17" s="7">
        <v>14</v>
      </c>
      <c r="B17" s="8" t="s">
        <v>341</v>
      </c>
      <c r="C17" s="8" t="s">
        <v>342</v>
      </c>
      <c r="D17" s="9">
        <v>825</v>
      </c>
    </row>
    <row r="18" spans="1:6" ht="30" x14ac:dyDescent="0.25">
      <c r="A18" s="7">
        <v>15</v>
      </c>
      <c r="B18" s="8" t="s">
        <v>343</v>
      </c>
      <c r="C18" s="8" t="s">
        <v>344</v>
      </c>
      <c r="D18" s="9">
        <v>893</v>
      </c>
      <c r="F18" s="1" t="s">
        <v>105</v>
      </c>
    </row>
    <row r="19" spans="1:6" ht="45" x14ac:dyDescent="0.25">
      <c r="A19" s="7">
        <v>16</v>
      </c>
      <c r="B19" s="8" t="s">
        <v>383</v>
      </c>
      <c r="C19" s="8" t="s">
        <v>384</v>
      </c>
      <c r="D19" s="9">
        <v>827</v>
      </c>
      <c r="F19" s="1" t="s">
        <v>106</v>
      </c>
    </row>
    <row r="20" spans="1:6" ht="30" x14ac:dyDescent="0.25">
      <c r="A20" s="7">
        <v>17</v>
      </c>
      <c r="B20" s="8" t="s">
        <v>23</v>
      </c>
      <c r="C20" s="8" t="s">
        <v>43</v>
      </c>
      <c r="D20" s="9">
        <v>847</v>
      </c>
    </row>
    <row r="21" spans="1:6" ht="30" x14ac:dyDescent="0.25">
      <c r="A21" s="7">
        <v>18</v>
      </c>
      <c r="B21" s="8" t="s">
        <v>24</v>
      </c>
      <c r="C21" s="8" t="s">
        <v>44</v>
      </c>
      <c r="D21" s="9">
        <v>892</v>
      </c>
      <c r="F21" s="1" t="s">
        <v>107</v>
      </c>
    </row>
    <row r="22" spans="1:6" ht="36.75" customHeight="1" x14ac:dyDescent="0.25">
      <c r="A22" s="7">
        <v>19</v>
      </c>
      <c r="B22" s="8" t="s">
        <v>25</v>
      </c>
      <c r="C22" s="8" t="s">
        <v>45</v>
      </c>
      <c r="D22" s="9">
        <v>831</v>
      </c>
      <c r="F22" s="1" t="s">
        <v>108</v>
      </c>
    </row>
    <row r="23" spans="1:6" ht="30" x14ac:dyDescent="0.25">
      <c r="A23" s="7">
        <v>20</v>
      </c>
      <c r="B23" s="8" t="s">
        <v>26</v>
      </c>
      <c r="C23" s="8" t="s">
        <v>46</v>
      </c>
      <c r="D23" s="9">
        <v>854</v>
      </c>
    </row>
    <row r="24" spans="1:6" ht="45" x14ac:dyDescent="0.25">
      <c r="A24" s="7">
        <v>21</v>
      </c>
      <c r="B24" s="8" t="s">
        <v>27</v>
      </c>
      <c r="C24" s="8" t="s">
        <v>47</v>
      </c>
      <c r="D24" s="9">
        <v>832</v>
      </c>
    </row>
    <row r="25" spans="1:6" ht="45" x14ac:dyDescent="0.25">
      <c r="A25" s="7">
        <v>22</v>
      </c>
      <c r="B25" s="8" t="s">
        <v>345</v>
      </c>
      <c r="C25" s="8" t="s">
        <v>346</v>
      </c>
      <c r="D25" s="9">
        <v>823</v>
      </c>
    </row>
    <row r="26" spans="1:6" ht="30" x14ac:dyDescent="0.25">
      <c r="A26" s="7">
        <v>23</v>
      </c>
      <c r="B26" s="8" t="s">
        <v>28</v>
      </c>
      <c r="C26" s="8" t="s">
        <v>48</v>
      </c>
      <c r="D26" s="9">
        <v>820</v>
      </c>
    </row>
    <row r="27" spans="1:6" ht="45" x14ac:dyDescent="0.25">
      <c r="A27" s="7">
        <v>24</v>
      </c>
      <c r="B27" s="8" t="s">
        <v>29</v>
      </c>
      <c r="C27" s="8" t="s">
        <v>49</v>
      </c>
      <c r="D27" s="9">
        <v>819</v>
      </c>
    </row>
    <row r="28" spans="1:6" ht="30" x14ac:dyDescent="0.25">
      <c r="A28" s="7">
        <v>25</v>
      </c>
      <c r="B28" s="8" t="s">
        <v>30</v>
      </c>
      <c r="C28" s="8" t="s">
        <v>50</v>
      </c>
      <c r="D28" s="9">
        <v>818</v>
      </c>
    </row>
    <row r="29" spans="1:6" ht="30" x14ac:dyDescent="0.25">
      <c r="A29" s="7">
        <v>26</v>
      </c>
      <c r="B29" s="8" t="s">
        <v>347</v>
      </c>
      <c r="C29" s="8" t="s">
        <v>348</v>
      </c>
      <c r="D29" s="9">
        <v>822</v>
      </c>
    </row>
    <row r="30" spans="1:6" ht="45" x14ac:dyDescent="0.25">
      <c r="A30" s="7">
        <v>27</v>
      </c>
      <c r="B30" s="8" t="s">
        <v>357</v>
      </c>
      <c r="C30" s="8" t="s">
        <v>41</v>
      </c>
      <c r="D30" s="9">
        <v>821</v>
      </c>
    </row>
    <row r="31" spans="1:6" x14ac:dyDescent="0.25">
      <c r="A31" s="5"/>
      <c r="B31" s="1"/>
      <c r="C31" s="1"/>
      <c r="D31" s="67"/>
    </row>
    <row r="32" spans="1:6" x14ac:dyDescent="0.25">
      <c r="A32" s="5">
        <v>2</v>
      </c>
      <c r="B32" s="5">
        <v>3</v>
      </c>
      <c r="C32" s="3">
        <v>5</v>
      </c>
    </row>
    <row r="33" spans="1:6" x14ac:dyDescent="0.25">
      <c r="A33" s="6"/>
      <c r="B33" s="10"/>
      <c r="C33" s="6"/>
    </row>
    <row r="34" spans="1:6" x14ac:dyDescent="0.25">
      <c r="A34" s="6">
        <v>1</v>
      </c>
      <c r="B34" s="10" t="s">
        <v>56</v>
      </c>
      <c r="C34" s="6" t="s">
        <v>70</v>
      </c>
      <c r="E34" t="s">
        <v>263</v>
      </c>
      <c r="F34" t="s">
        <v>109</v>
      </c>
    </row>
    <row r="35" spans="1:6" x14ac:dyDescent="0.25">
      <c r="A35" s="6">
        <v>2</v>
      </c>
      <c r="B35" s="10" t="s">
        <v>57</v>
      </c>
      <c r="C35" s="6" t="s">
        <v>71</v>
      </c>
      <c r="E35" t="s">
        <v>264</v>
      </c>
      <c r="F35" t="s">
        <v>110</v>
      </c>
    </row>
    <row r="36" spans="1:6" x14ac:dyDescent="0.25">
      <c r="A36" s="6">
        <v>3</v>
      </c>
      <c r="B36" s="10" t="s">
        <v>58</v>
      </c>
      <c r="C36" t="s">
        <v>135</v>
      </c>
      <c r="E36" t="s">
        <v>265</v>
      </c>
      <c r="F36" t="s">
        <v>111</v>
      </c>
    </row>
    <row r="37" spans="1:6" x14ac:dyDescent="0.25">
      <c r="A37" s="6">
        <v>4</v>
      </c>
      <c r="B37" s="3">
        <v>4</v>
      </c>
      <c r="C37" s="6" t="s">
        <v>72</v>
      </c>
      <c r="E37" t="s">
        <v>266</v>
      </c>
    </row>
    <row r="38" spans="1:6" x14ac:dyDescent="0.25">
      <c r="A38" s="6">
        <v>5</v>
      </c>
      <c r="B38" s="6"/>
      <c r="C38" s="6" t="s">
        <v>73</v>
      </c>
    </row>
    <row r="39" spans="1:6" x14ac:dyDescent="0.25">
      <c r="A39" s="6">
        <v>6</v>
      </c>
      <c r="B39" s="6" t="s">
        <v>67</v>
      </c>
      <c r="F39" t="s">
        <v>211</v>
      </c>
    </row>
    <row r="40" spans="1:6" x14ac:dyDescent="0.25">
      <c r="A40" s="6">
        <v>7</v>
      </c>
      <c r="B40" s="6" t="s">
        <v>66</v>
      </c>
      <c r="F40" t="s">
        <v>212</v>
      </c>
    </row>
    <row r="41" spans="1:6" x14ac:dyDescent="0.25">
      <c r="A41" s="6">
        <v>8</v>
      </c>
      <c r="B41" s="6" t="s">
        <v>68</v>
      </c>
      <c r="F41" t="s">
        <v>213</v>
      </c>
    </row>
    <row r="42" spans="1:6" x14ac:dyDescent="0.25">
      <c r="A42" s="6">
        <v>9</v>
      </c>
      <c r="B42" s="6" t="s">
        <v>69</v>
      </c>
    </row>
    <row r="46" spans="1:6" x14ac:dyDescent="0.25">
      <c r="B46" t="s">
        <v>330</v>
      </c>
    </row>
    <row r="48" spans="1:6" x14ac:dyDescent="0.25">
      <c r="F48" t="s">
        <v>215</v>
      </c>
    </row>
    <row r="50" spans="5:6" x14ac:dyDescent="0.25">
      <c r="F50" t="s">
        <v>216</v>
      </c>
    </row>
    <row r="51" spans="5:6" x14ac:dyDescent="0.25">
      <c r="E51" t="s">
        <v>220</v>
      </c>
      <c r="F51" t="s">
        <v>217</v>
      </c>
    </row>
    <row r="52" spans="5:6" x14ac:dyDescent="0.25">
      <c r="E52" t="s">
        <v>221</v>
      </c>
      <c r="F52" t="s">
        <v>218</v>
      </c>
    </row>
    <row r="53" spans="5:6" x14ac:dyDescent="0.25">
      <c r="E53" t="s">
        <v>222</v>
      </c>
      <c r="F53" t="s">
        <v>219</v>
      </c>
    </row>
  </sheetData>
  <mergeCells count="1">
    <mergeCell ref="A1:D1"/>
  </mergeCells>
  <hyperlinks>
    <hyperlink ref="B25" r:id="rId1" display="http://www.orenburg-gov.ru/power/executive/inspektsiya-gosudarstvennoy-okhrany-obektov-kulturnogo-naslediya-orenburgskoy-oblasti.php" xr:uid="{00000000-0004-0000-0A00-000000000000}"/>
    <hyperlink ref="B29" r:id="rId2" display="http://www.orenburg-gov.ru/power/executive/komitet-po-profilaktike-korruptsionnykh-pravonarusheniy-orenburgskoy-oblasti.php" xr:uid="{00000000-0004-0000-0A00-000001000000}"/>
  </hyperlinks>
  <pageMargins left="0.7" right="0.7" top="0.37" bottom="0.34" header="0.3" footer="0.3"/>
  <pageSetup paperSize="9" scale="97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5:O180"/>
  <sheetViews>
    <sheetView workbookViewId="0">
      <selection activeCell="O19" sqref="O19"/>
    </sheetView>
  </sheetViews>
  <sheetFormatPr defaultRowHeight="15" x14ac:dyDescent="0.25"/>
  <cols>
    <col min="1" max="1" width="32.28515625" customWidth="1"/>
    <col min="2" max="2" width="13.7109375" customWidth="1"/>
    <col min="3" max="3" width="17.5703125" customWidth="1"/>
    <col min="4" max="4" width="26.42578125" customWidth="1"/>
    <col min="5" max="5" width="14.5703125" customWidth="1"/>
    <col min="6" max="6" width="17.7109375" customWidth="1"/>
    <col min="7" max="7" width="17.42578125" customWidth="1"/>
    <col min="8" max="8" width="16.5703125" customWidth="1"/>
    <col min="9" max="9" width="23" customWidth="1"/>
    <col min="10" max="10" width="14.42578125" customWidth="1"/>
    <col min="11" max="14" width="12.85546875" customWidth="1"/>
    <col min="15" max="15" width="23" customWidth="1"/>
  </cols>
  <sheetData>
    <row r="5" spans="1:15" ht="34.5" customHeight="1" x14ac:dyDescent="0.25">
      <c r="A5" s="168" t="s">
        <v>64</v>
      </c>
      <c r="B5" s="167" t="s">
        <v>0</v>
      </c>
      <c r="C5" s="167" t="s">
        <v>12</v>
      </c>
      <c r="D5" s="167" t="s">
        <v>1</v>
      </c>
      <c r="E5" s="167" t="s">
        <v>2</v>
      </c>
      <c r="F5" s="167" t="s">
        <v>299</v>
      </c>
      <c r="G5" s="167"/>
      <c r="H5" s="167"/>
      <c r="I5" s="167" t="s">
        <v>6</v>
      </c>
      <c r="J5" s="167"/>
      <c r="K5" s="167"/>
      <c r="L5" s="167"/>
      <c r="M5" s="167"/>
      <c r="N5" s="167"/>
      <c r="O5" s="167" t="s">
        <v>10</v>
      </c>
    </row>
    <row r="6" spans="1:15" x14ac:dyDescent="0.25">
      <c r="A6" s="169"/>
      <c r="B6" s="167"/>
      <c r="C6" s="167"/>
      <c r="D6" s="167"/>
      <c r="E6" s="167"/>
      <c r="F6" s="167"/>
      <c r="G6" s="167"/>
      <c r="H6" s="167"/>
      <c r="I6" s="167" t="s">
        <v>7</v>
      </c>
      <c r="J6" s="167" t="s">
        <v>8</v>
      </c>
      <c r="K6" s="167" t="s">
        <v>9</v>
      </c>
      <c r="L6" s="167" t="s">
        <v>11</v>
      </c>
      <c r="M6" s="167"/>
      <c r="N6" s="167"/>
      <c r="O6" s="167"/>
    </row>
    <row r="7" spans="1:15" ht="45" x14ac:dyDescent="0.25">
      <c r="A7" s="169"/>
      <c r="B7" s="168"/>
      <c r="C7" s="168"/>
      <c r="D7" s="168"/>
      <c r="E7" s="168"/>
      <c r="F7" s="25" t="s">
        <v>185</v>
      </c>
      <c r="G7" s="25" t="s">
        <v>186</v>
      </c>
      <c r="H7" s="25" t="s">
        <v>187</v>
      </c>
      <c r="I7" s="168"/>
      <c r="J7" s="168"/>
      <c r="K7" s="168"/>
      <c r="L7" s="25" t="s">
        <v>3</v>
      </c>
      <c r="M7" s="25" t="s">
        <v>4</v>
      </c>
      <c r="N7" s="25" t="s">
        <v>5</v>
      </c>
      <c r="O7" s="168"/>
    </row>
    <row r="8" spans="1:15" x14ac:dyDescent="0.25">
      <c r="A8" s="48" t="str">
        <f>IF('Р 1. "Общие сведения"'!I8="","",'Р 1. "Общие сведения"'!I8)</f>
        <v>Эксплуатация Связь и Интернет</v>
      </c>
      <c r="B8" s="44" t="str">
        <f>IF('Р 1. "Общие сведения"'!J8="","",'Р 1. "Общие сведения"'!J8)</f>
        <v>818.Э.001П</v>
      </c>
      <c r="C8" s="44" t="str">
        <f>IF('Р 1. "Общие сведения"'!H8="","",'Р 1. "Общие сведения"'!H8)</f>
        <v>Эксплуатация</v>
      </c>
      <c r="D8" s="44" t="str">
        <f>IF('Р 1. "Общие сведения"'!D8="","",'Р 1. "Общие сведения"'!D8)</f>
        <v>Связь и Интернет</v>
      </c>
      <c r="E8" s="44" t="str">
        <f>IF('Р 1. "Общие сведения"'!K8="","",'Р 1. "Общие сведения"'!K8)</f>
        <v>отсутствует</v>
      </c>
      <c r="F8" s="45">
        <f>IF(OR(Таблица26[[#This Row],[Столбец1]]="",Таблица26[[#This Row],[Столбец5]]="",),"",VLOOKUP(A8,Таблица9[#All],2,FALSE))</f>
        <v>572.6</v>
      </c>
      <c r="G8" s="45">
        <f>IF(OR(Таблица26[[#This Row],[Столбец1]]="",Таблица26[[#This Row],[Столбец5]]=""),"",VLOOKUP(A8,'Р 5. Финансирование'!$A$9:$D$100,3,FALSE))</f>
        <v>572</v>
      </c>
      <c r="H8" s="45">
        <f>IF(OR(Таблица26[[#This Row],[Столбец1]]="",Таблица26[[#This Row],[Столбец5]]=""),"",VLOOKUP(A8,'Р 5. Финансирование'!$A$9:$D$100,4,FALSE))</f>
        <v>572</v>
      </c>
      <c r="I8" s="44" t="str">
        <f>IF(OR(Таблица26[[#This Row],[Столбец5]]="отсутствует",Таблица26[[#This Row],[Столбец5]]=""),"",VLOOKUP(A8,'Р 4. Показатели_индикаторы'!$A$9:$J$103,3,FALSE))</f>
        <v/>
      </c>
      <c r="J8" s="44" t="str">
        <f>IF(OR(Таблица26[[#This Row],[Столбец5]]="отсутствует",Таблица26[[#This Row],[Столбец5]]=""),"",VLOOKUP(A8,'Р 4. Показатели_индикаторы'!$A$9:$J$103,4,FALSE))</f>
        <v/>
      </c>
      <c r="K8" s="44" t="str">
        <f>IF(OR(Таблица26[[#This Row],[Столбец1]]="",Таблица26[[#This Row],[Столбец5]]="",Таблица26[[#This Row],[Столбец5]]="отсутствует"),"",VLOOKUP(A8,'Р 4. Показатели_индикаторы'!$A$9:$J$103,5,FALSE))</f>
        <v/>
      </c>
      <c r="L8" s="44" t="str">
        <f>IF(OR(Таблица26[[#This Row],[Столбец1]]="",Таблица26[[#This Row],[Столбец5]]="",Таблица26[[#This Row],[Столбец5]]="отсутствует"),"",VLOOKUP(A8,'Р 4. Показатели_индикаторы'!$A$9:$J$103,6,FALSE))</f>
        <v/>
      </c>
      <c r="M8" s="44" t="str">
        <f>IF(OR(Таблица26[[#This Row],[Столбец1]]="",Таблица26[[#This Row],[Столбец5]]="",Таблица26[[#This Row],[Столбец5]]="отсутствует"),"",VLOOKUP(A8,'Р 4. Показатели_индикаторы'!$A$9:$J$103,7,FALSE))</f>
        <v/>
      </c>
      <c r="N8" s="44" t="str">
        <f>IF(OR(Таблица26[[#This Row],[Столбец1]]="",Таблица26[[#This Row],[Столбец5]]="",Таблица26[[#This Row],[Столбец5]]="отсутствует"),"",VLOOKUP(A8,'Р 4. Показатели_индикаторы'!$A$9:$J$103,8,FALSE))</f>
        <v/>
      </c>
      <c r="O8" s="49" t="str">
        <f>IF(VLOOKUP(A8,'Р 1. "Общие сведения"'!$I$8:$L$179,4,FALSE)="","",VLOOKUP(A8,'Р 1. "Общие сведения"'!$I$8:$L$179,4,FALSE))</f>
        <v>Постановление Правительства Оренбургской области от 29.12.2018 № 915-пп «Об утверждении государственной программы «Развитие культуры Оренбургской области» на 2019–2024 годы»"; основное мероприятие 1.4 "Развитие архивного дела"</v>
      </c>
    </row>
    <row r="9" spans="1:15" x14ac:dyDescent="0.25">
      <c r="A9" s="48" t="str">
        <f>IF('Р 1. "Общие сведения"'!I9="","",'Р 1. "Общие сведения"'!I9)</f>
        <v>Эксплуатация Оргтехника</v>
      </c>
      <c r="B9" s="44" t="str">
        <f>IF('Р 1. "Общие сведения"'!J9="","",'Р 1. "Общие сведения"'!J9)</f>
        <v>818.Э.002П</v>
      </c>
      <c r="C9" s="44" t="str">
        <f>IF('Р 1. "Общие сведения"'!H9="","",'Р 1. "Общие сведения"'!H9)</f>
        <v>Эксплуатация</v>
      </c>
      <c r="D9" s="44" t="str">
        <f>IF('Р 1. "Общие сведения"'!D9="","",'Р 1. "Общие сведения"'!D9)</f>
        <v>Оргтехника</v>
      </c>
      <c r="E9" s="44" t="str">
        <f>IF('Р 1. "Общие сведения"'!K9="","",'Р 1. "Общие сведения"'!K9)</f>
        <v>отсутствует</v>
      </c>
      <c r="F9" s="45">
        <f>IF(OR(Таблица26[[#This Row],[Столбец1]]="",Таблица26[[#This Row],[Столбец5]]="",),"",VLOOKUP(A9,Таблица9[#All],2,FALSE))</f>
        <v>250</v>
      </c>
      <c r="G9" s="45">
        <f>IF(OR(Таблица26[[#This Row],[Столбец1]]="",Таблица26[[#This Row],[Столбец5]]=""),"",VLOOKUP(A9,'Р 5. Финансирование'!$A$9:$D$100,3,FALSE))</f>
        <v>210</v>
      </c>
      <c r="H9" s="45">
        <f>IF(OR(Таблица26[[#This Row],[Столбец1]]="",Таблица26[[#This Row],[Столбец5]]=""),"",VLOOKUP(A9,'Р 5. Финансирование'!$A$9:$D$100,4,FALSE))</f>
        <v>210</v>
      </c>
      <c r="I9" s="44" t="str">
        <f>IF(OR(Таблица26[[#This Row],[Столбец5]]="отсутствует",Таблица26[[#This Row],[Столбец5]]=""),"",VLOOKUP(A9,'Р 4. Показатели_индикаторы'!$A$9:$J$103,3,FALSE))</f>
        <v/>
      </c>
      <c r="J9" s="46" t="str">
        <f>IF(OR(Таблица26[[#This Row],[Столбец5]]="отсутствует",Таблица26[[#This Row],[Столбец5]]=""),"",VLOOKUP(A9,'Р 4. Показатели_индикаторы'!$A$9:$J$103,4,FALSE))</f>
        <v/>
      </c>
      <c r="K9" s="46" t="str">
        <f>IF(OR(Таблица26[[#This Row],[Столбец1]]="",Таблица26[[#This Row],[Столбец5]]="",Таблица26[[#This Row],[Столбец5]]="отсутствует"),"",VLOOKUP(A9,'Р 4. Показатели_индикаторы'!$A$9:$J$103,5,FALSE))</f>
        <v/>
      </c>
      <c r="L9" s="46" t="str">
        <f>IF(OR(Таблица26[[#This Row],[Столбец1]]="",Таблица26[[#This Row],[Столбец5]]="",Таблица26[[#This Row],[Столбец5]]="отсутствует"),"",VLOOKUP(A9,'Р 4. Показатели_индикаторы'!$A$9:$J$103,6,FALSE))</f>
        <v/>
      </c>
      <c r="M9" s="46" t="str">
        <f>IF(OR(Таблица26[[#This Row],[Столбец1]]="",Таблица26[[#This Row],[Столбец5]]="",Таблица26[[#This Row],[Столбец5]]="отсутствует"),"",VLOOKUP(A9,'Р 4. Показатели_индикаторы'!$A$9:$J$103,7,FALSE))</f>
        <v/>
      </c>
      <c r="N9" s="46" t="str">
        <f>IF(OR(Таблица26[[#This Row],[Столбец1]]="",Таблица26[[#This Row],[Столбец5]]="",Таблица26[[#This Row],[Столбец5]]="отсутствует"),"",VLOOKUP(A9,'Р 4. Показатели_индикаторы'!$A$9:$J$103,8,FALSE))</f>
        <v/>
      </c>
      <c r="O9" s="49" t="str">
        <f>IF(VLOOKUP(A9,'Р 1. "Общие сведения"'!$I$8:$L$179,4,FALSE)="","",VLOOKUP(A9,'Р 1. "Общие сведения"'!$I$8:$L$179,4,FALSE))</f>
        <v>Постановление Правительства Оренбургской области от 29.12.2018 № 915-пп «Об утверждении государственной программы «Развитие культуры Оренбургской области» на 2019–2024 годы»"; основное мероприятие 1.4 "Развитие архивного дела"</v>
      </c>
    </row>
    <row r="10" spans="1:15" x14ac:dyDescent="0.25">
      <c r="A10" s="48" t="str">
        <f>IF('Р 1. "Общие сведения"'!I10="","",'Р 1. "Общие сведения"'!I10)</f>
        <v>Эксплуатация Программное обеспечение</v>
      </c>
      <c r="B10" s="44" t="str">
        <f>IF('Р 1. "Общие сведения"'!J10="","",'Р 1. "Общие сведения"'!J10)</f>
        <v>818.Э.003П</v>
      </c>
      <c r="C10" s="44" t="str">
        <f>IF('Р 1. "Общие сведения"'!H10="","",'Р 1. "Общие сведения"'!H10)</f>
        <v>Эксплуатация</v>
      </c>
      <c r="D10" s="44" t="str">
        <f>IF('Р 1. "Общие сведения"'!D10="","",'Р 1. "Общие сведения"'!D10)</f>
        <v>Программное обеспечение</v>
      </c>
      <c r="E10" s="44" t="str">
        <f>IF('Р 1. "Общие сведения"'!K10="","",'Р 1. "Общие сведения"'!K10)</f>
        <v>отсутствует</v>
      </c>
      <c r="F10" s="45">
        <f>IF(OR(Таблица26[[#This Row],[Столбец1]]="",Таблица26[[#This Row],[Столбец5]]="",),"",VLOOKUP(A10,Таблица9[#All],2,FALSE))</f>
        <v>210</v>
      </c>
      <c r="G10" s="45">
        <f>IF(OR(Таблица26[[#This Row],[Столбец1]]="",Таблица26[[#This Row],[Столбец5]]=""),"",VLOOKUP(A10,'Р 5. Финансирование'!$A$9:$D$100,3,FALSE))</f>
        <v>170.7</v>
      </c>
      <c r="H10" s="45">
        <f>IF(OR(Таблица26[[#This Row],[Столбец1]]="",Таблица26[[#This Row],[Столбец5]]=""),"",VLOOKUP(A10,'Р 5. Финансирование'!$A$9:$D$100,4,FALSE))</f>
        <v>170.7</v>
      </c>
      <c r="I10" s="44" t="str">
        <f>IF(OR(Таблица26[[#This Row],[Столбец5]]="отсутствует",Таблица26[[#This Row],[Столбец5]]=""),"",VLOOKUP(A10,'Р 4. Показатели_индикаторы'!$A$9:$J$103,3,FALSE))</f>
        <v/>
      </c>
      <c r="J10" s="46" t="str">
        <f>IF(OR(Таблица26[[#This Row],[Столбец5]]="отсутствует",Таблица26[[#This Row],[Столбец5]]=""),"",VLOOKUP(A10,'Р 4. Показатели_индикаторы'!$A$9:$J$103,4,FALSE))</f>
        <v/>
      </c>
      <c r="K10" s="46" t="str">
        <f>IF(OR(Таблица26[[#This Row],[Столбец1]]="",Таблица26[[#This Row],[Столбец5]]="",Таблица26[[#This Row],[Столбец5]]="отсутствует"),"",VLOOKUP(A10,'Р 4. Показатели_индикаторы'!$A$9:$J$103,5,FALSE))</f>
        <v/>
      </c>
      <c r="L10" s="46" t="str">
        <f>IF(OR(Таблица26[[#This Row],[Столбец1]]="",Таблица26[[#This Row],[Столбец5]]="",Таблица26[[#This Row],[Столбец5]]="отсутствует"),"",VLOOKUP(A10,'Р 4. Показатели_индикаторы'!$A$9:$J$103,6,FALSE))</f>
        <v/>
      </c>
      <c r="M10" s="46" t="str">
        <f>IF(OR(Таблица26[[#This Row],[Столбец1]]="",Таблица26[[#This Row],[Столбец5]]="",Таблица26[[#This Row],[Столбец5]]="отсутствует"),"",VLOOKUP(A10,'Р 4. Показатели_индикаторы'!$A$9:$J$103,7,FALSE))</f>
        <v/>
      </c>
      <c r="N10" s="46" t="str">
        <f>IF(OR(Таблица26[[#This Row],[Столбец1]]="",Таблица26[[#This Row],[Столбец5]]="",Таблица26[[#This Row],[Столбец5]]="отсутствует"),"",VLOOKUP(A10,'Р 4. Показатели_индикаторы'!$A$9:$J$103,8,FALSE))</f>
        <v/>
      </c>
      <c r="O10" s="49" t="str">
        <f>IF(VLOOKUP(A10,'Р 1. "Общие сведения"'!$I$8:$L$179,4,FALSE)="","",VLOOKUP(A10,'Р 1. "Общие сведения"'!$I$8:$L$179,4,FALSE))</f>
        <v>Постановление Правительства Оренбургской области от 29.12.2018 № 915-пп «Об утверждении государственной программы «Развитие культуры Оренбургской области» на 2019–2024 годы»"; основное мероприятие 1.4 "Развитие архивного дела"</v>
      </c>
    </row>
    <row r="11" spans="1:15" x14ac:dyDescent="0.25">
      <c r="A11" s="48" t="str">
        <f>IF('Р 1. "Общие сведения"'!I11="","",'Р 1. "Общие сведения"'!I11)</f>
        <v>Эксплуатация Антивирусное программное обеспечение</v>
      </c>
      <c r="B11" s="44" t="str">
        <f>IF('Р 1. "Общие сведения"'!J11="","",'Р 1. "Общие сведения"'!J11)</f>
        <v>818.Э.004П</v>
      </c>
      <c r="C11" s="44" t="str">
        <f>IF('Р 1. "Общие сведения"'!H11="","",'Р 1. "Общие сведения"'!H11)</f>
        <v>Эксплуатация</v>
      </c>
      <c r="D11" s="44" t="str">
        <f>IF('Р 1. "Общие сведения"'!D11="","",'Р 1. "Общие сведения"'!D11)</f>
        <v>Антивирусное программное обеспечение</v>
      </c>
      <c r="E11" s="44" t="str">
        <f>IF('Р 1. "Общие сведения"'!K11="","",'Р 1. "Общие сведения"'!K11)</f>
        <v>отсутствует</v>
      </c>
      <c r="F11" s="45" t="e">
        <f>IF(OR(Таблица26[[#This Row],[Столбец1]]="",Таблица26[[#This Row],[Столбец5]]="",),"",VLOOKUP(A11,Таблица9[#All],2,FALSE))</f>
        <v>#N/A</v>
      </c>
      <c r="G11" s="45" t="e">
        <f>IF(OR(Таблица26[[#This Row],[Столбец1]]="",Таблица26[[#This Row],[Столбец5]]=""),"",VLOOKUP(A11,'Р 5. Финансирование'!$A$9:$D$100,3,FALSE))</f>
        <v>#N/A</v>
      </c>
      <c r="H11" s="45" t="e">
        <f>IF(OR(Таблица26[[#This Row],[Столбец1]]="",Таблица26[[#This Row],[Столбец5]]=""),"",VLOOKUP(A11,'Р 5. Финансирование'!$A$9:$D$100,4,FALSE))</f>
        <v>#N/A</v>
      </c>
      <c r="I11" s="44" t="str">
        <f>IF(OR(Таблица26[[#This Row],[Столбец5]]="отсутствует",Таблица26[[#This Row],[Столбец5]]=""),"",VLOOKUP(A11,'Р 4. Показатели_индикаторы'!$A$9:$J$103,3,FALSE))</f>
        <v/>
      </c>
      <c r="J11" s="46" t="str">
        <f>IF(OR(Таблица26[[#This Row],[Столбец5]]="отсутствует",Таблица26[[#This Row],[Столбец5]]=""),"",VLOOKUP(A11,'Р 4. Показатели_индикаторы'!$A$9:$J$103,4,FALSE))</f>
        <v/>
      </c>
      <c r="K11" s="46" t="str">
        <f>IF(OR(Таблица26[[#This Row],[Столбец1]]="",Таблица26[[#This Row],[Столбец5]]="",Таблица26[[#This Row],[Столбец5]]="отсутствует"),"",VLOOKUP(A11,'Р 4. Показатели_индикаторы'!$A$9:$J$103,5,FALSE))</f>
        <v/>
      </c>
      <c r="L11" s="46" t="str">
        <f>IF(OR(Таблица26[[#This Row],[Столбец1]]="",Таблица26[[#This Row],[Столбец5]]="",Таблица26[[#This Row],[Столбец5]]="отсутствует"),"",VLOOKUP(A11,'Р 4. Показатели_индикаторы'!$A$9:$J$103,6,FALSE))</f>
        <v/>
      </c>
      <c r="M11" s="46" t="str">
        <f>IF(OR(Таблица26[[#This Row],[Столбец1]]="",Таблица26[[#This Row],[Столбец5]]="",Таблица26[[#This Row],[Столбец5]]="отсутствует"),"",VLOOKUP(A11,'Р 4. Показатели_индикаторы'!$A$9:$J$103,7,FALSE))</f>
        <v/>
      </c>
      <c r="N11" s="46" t="str">
        <f>IF(OR(Таблица26[[#This Row],[Столбец1]]="",Таблица26[[#This Row],[Столбец5]]="",Таблица26[[#This Row],[Столбец5]]="отсутствует"),"",VLOOKUP(A11,'Р 4. Показатели_индикаторы'!$A$9:$J$103,8,FALSE))</f>
        <v/>
      </c>
      <c r="O11" s="49" t="str">
        <f>IF(VLOOKUP(A11,'Р 1. "Общие сведения"'!$I$8:$L$179,4,FALSE)="","",VLOOKUP(A11,'Р 1. "Общие сведения"'!$I$8:$L$179,4,FALSE))</f>
        <v>Постановление Правительства Оренбургской области от 29.12.2018 № 915-пп «Об утверждении государственной программы «Развитие культуры Оренбургской области» на 2019–2024 годы»"; основное мероприятие 1.4 "Развитие архивного дела"</v>
      </c>
    </row>
    <row r="12" spans="1:15" x14ac:dyDescent="0.25">
      <c r="A12" s="48" t="str">
        <f>IF('Р 1. "Общие сведения"'!I12="","",'Р 1. "Общие сведения"'!I12)</f>
        <v>Эксплуатация Государственная информационная система "Архивы Оренбургской области"</v>
      </c>
      <c r="B12" s="44" t="str">
        <f>IF('Р 1. "Общие сведения"'!J12="","",'Р 1. "Общие сведения"'!J12)</f>
        <v>818.Э.005П</v>
      </c>
      <c r="C12" s="44" t="str">
        <f>IF('Р 1. "Общие сведения"'!H12="","",'Р 1. "Общие сведения"'!H12)</f>
        <v>Эксплуатация</v>
      </c>
      <c r="D12" s="44" t="str">
        <f>IF('Р 1. "Общие сведения"'!D12="","",'Р 1. "Общие сведения"'!D12)</f>
        <v>Государственная информационная система "Архивы Оренбургской области"</v>
      </c>
      <c r="E12" s="44" t="str">
        <f>IF('Р 1. "Общие сведения"'!K12="","",'Р 1. "Общие сведения"'!K12)</f>
        <v>отсутствует</v>
      </c>
      <c r="F12" s="45">
        <f>IF(OR(Таблица26[[#This Row],[Столбец1]]="",Таблица26[[#This Row],[Столбец5]]="",),"",VLOOKUP(A12,Таблица9[#All],2,FALSE))</f>
        <v>0</v>
      </c>
      <c r="G12" s="45">
        <f>IF(OR(Таблица26[[#This Row],[Столбец1]]="",Таблица26[[#This Row],[Столбец5]]=""),"",VLOOKUP(A12,'Р 5. Финансирование'!$A$9:$D$100,3,FALSE))</f>
        <v>600</v>
      </c>
      <c r="H12" s="45">
        <f>IF(OR(Таблица26[[#This Row],[Столбец1]]="",Таблица26[[#This Row],[Столбец5]]=""),"",VLOOKUP(A12,'Р 5. Финансирование'!$A$9:$D$100,4,FALSE))</f>
        <v>600</v>
      </c>
      <c r="I12" s="44" t="str">
        <f>IF(OR(Таблица26[[#This Row],[Столбец5]]="отсутствует",Таблица26[[#This Row],[Столбец5]]=""),"",VLOOKUP(A12,'Р 4. Показатели_индикаторы'!$A$9:$J$103,3,FALSE))</f>
        <v/>
      </c>
      <c r="J12" s="46" t="str">
        <f>IF(OR(Таблица26[[#This Row],[Столбец5]]="отсутствует",Таблица26[[#This Row],[Столбец5]]=""),"",VLOOKUP(A12,'Р 4. Показатели_индикаторы'!$A$9:$J$103,4,FALSE))</f>
        <v/>
      </c>
      <c r="K12" s="46" t="str">
        <f>IF(OR(Таблица26[[#This Row],[Столбец1]]="",Таблица26[[#This Row],[Столбец5]]="",Таблица26[[#This Row],[Столбец5]]="отсутствует"),"",VLOOKUP(A12,'Р 4. Показатели_индикаторы'!$A$9:$J$103,5,FALSE))</f>
        <v/>
      </c>
      <c r="L12" s="46" t="str">
        <f>IF(OR(Таблица26[[#This Row],[Столбец1]]="",Таблица26[[#This Row],[Столбец5]]="",Таблица26[[#This Row],[Столбец5]]="отсутствует"),"",VLOOKUP(A12,'Р 4. Показатели_индикаторы'!$A$9:$J$103,6,FALSE))</f>
        <v/>
      </c>
      <c r="M12" s="46" t="str">
        <f>IF(OR(Таблица26[[#This Row],[Столбец1]]="",Таблица26[[#This Row],[Столбец5]]="",Таблица26[[#This Row],[Столбец5]]="отсутствует"),"",VLOOKUP(A12,'Р 4. Показатели_индикаторы'!$A$9:$J$103,7,FALSE))</f>
        <v/>
      </c>
      <c r="N12" s="46" t="str">
        <f>IF(OR(Таблица26[[#This Row],[Столбец1]]="",Таблица26[[#This Row],[Столбец5]]="",Таблица26[[#This Row],[Столбец5]]="отсутствует"),"",VLOOKUP(A12,'Р 4. Показатели_индикаторы'!$A$9:$J$103,8,FALSE))</f>
        <v/>
      </c>
      <c r="O12" s="49" t="str">
        <f>IF(VLOOKUP(A12,'Р 1. "Общие сведения"'!$I$8:$L$179,4,FALSE)="","",VLOOKUP(A12,'Р 1. "Общие сведения"'!$I$8:$L$179,4,FALSE))</f>
        <v>Постановление Правительства Оренбургской области от 29.12.2018 № 915-пп «Об утверждении государственной программы «Развитие культуры Оренбургской области» на 2019–2024 годы»"; основное мероприятие 1.4 "Развитие архивного дела"</v>
      </c>
    </row>
    <row r="13" spans="1:15" x14ac:dyDescent="0.25">
      <c r="A13" s="48" t="str">
        <f>IF('Р 1. "Общие сведения"'!I13="","",'Р 1. "Общие сведения"'!I13)</f>
        <v xml:space="preserve">Создание COM-система, проявочная машина Unomat с расходными материалами </v>
      </c>
      <c r="B13" s="44" t="str">
        <f>IF('Р 1. "Общие сведения"'!J13="","",'Р 1. "Общие сведения"'!J13)</f>
        <v>818.С.006П</v>
      </c>
      <c r="C13" s="44" t="str">
        <f>IF('Р 1. "Общие сведения"'!H13="","",'Р 1. "Общие сведения"'!H13)</f>
        <v>Создание</v>
      </c>
      <c r="D13" s="44" t="str">
        <f>IF('Р 1. "Общие сведения"'!D13="","",'Р 1. "Общие сведения"'!D13)</f>
        <v xml:space="preserve">COM-система, проявочная машина Unomat с расходными материалами </v>
      </c>
      <c r="E13" s="44" t="str">
        <f>IF('Р 1. "Общие сведения"'!K13="","",'Р 1. "Общие сведения"'!K13)</f>
        <v>отсутствует</v>
      </c>
      <c r="F13" s="45">
        <f>IF(OR(Таблица26[[#This Row],[Столбец1]]="",Таблица26[[#This Row],[Столбец5]]="",),"",VLOOKUP(A13,Таблица9[#All],2,FALSE))</f>
        <v>14800</v>
      </c>
      <c r="G13" s="45">
        <f>IF(OR(Таблица26[[#This Row],[Столбец1]]="",Таблица26[[#This Row],[Столбец5]]=""),"",VLOOKUP(A13,'Р 5. Финансирование'!$A$9:$D$100,3,FALSE))</f>
        <v>0</v>
      </c>
      <c r="H13" s="45">
        <f>IF(OR(Таблица26[[#This Row],[Столбец1]]="",Таблица26[[#This Row],[Столбец5]]=""),"",VLOOKUP(A13,'Р 5. Финансирование'!$A$9:$D$100,4,FALSE))</f>
        <v>0</v>
      </c>
      <c r="I13" s="44" t="str">
        <f>IF(OR(Таблица26[[#This Row],[Столбец5]]="отсутствует",Таблица26[[#This Row],[Столбец5]]=""),"",VLOOKUP(A13,'Р 4. Показатели_индикаторы'!$A$9:$J$103,3,FALSE))</f>
        <v/>
      </c>
      <c r="J13" s="46" t="str">
        <f>IF(OR(Таблица26[[#This Row],[Столбец5]]="отсутствует",Таблица26[[#This Row],[Столбец5]]=""),"",VLOOKUP(A13,'Р 4. Показатели_индикаторы'!$A$9:$J$103,4,FALSE))</f>
        <v/>
      </c>
      <c r="K13" s="46" t="str">
        <f>IF(OR(Таблица26[[#This Row],[Столбец1]]="",Таблица26[[#This Row],[Столбец5]]="",Таблица26[[#This Row],[Столбец5]]="отсутствует"),"",VLOOKUP(A13,'Р 4. Показатели_индикаторы'!$A$9:$J$103,5,FALSE))</f>
        <v/>
      </c>
      <c r="L13" s="46" t="str">
        <f>IF(OR(Таблица26[[#This Row],[Столбец1]]="",Таблица26[[#This Row],[Столбец5]]="",Таблица26[[#This Row],[Столбец5]]="отсутствует"),"",VLOOKUP(A13,'Р 4. Показатели_индикаторы'!$A$9:$J$103,6,FALSE))</f>
        <v/>
      </c>
      <c r="M13" s="46" t="str">
        <f>IF(OR(Таблица26[[#This Row],[Столбец1]]="",Таблица26[[#This Row],[Столбец5]]="",Таблица26[[#This Row],[Столбец5]]="отсутствует"),"",VLOOKUP(A13,'Р 4. Показатели_индикаторы'!$A$9:$J$103,7,FALSE))</f>
        <v/>
      </c>
      <c r="N13" s="46" t="str">
        <f>IF(OR(Таблица26[[#This Row],[Столбец1]]="",Таблица26[[#This Row],[Столбец5]]="",Таблица26[[#This Row],[Столбец5]]="отсутствует"),"",VLOOKUP(A13,'Р 4. Показатели_индикаторы'!$A$9:$J$103,8,FALSE))</f>
        <v/>
      </c>
      <c r="O13" s="49" t="str">
        <f>IF(VLOOKUP(A13,'Р 1. "Общие сведения"'!$I$8:$L$179,4,FALSE)="","",VLOOKUP(A13,'Р 1. "Общие сведения"'!$I$8:$L$179,4,FALSE))</f>
        <v>Постановление Правительства Оренбургской области от 29.12.2018 № 915-пп «Об утверждении государственной программы «Развитие культуры Оренбургской области» на 2019–2024 годы»"; основное мероприятие 1.4 "Развитие архивного дела"</v>
      </c>
    </row>
    <row r="14" spans="1:15" x14ac:dyDescent="0.25">
      <c r="A14" s="48" t="str">
        <f>IF('Р 1. "Общие сведения"'!I14="","",'Р 1. "Общие сведения"'!I14)</f>
        <v>Создание АРМ, оборудование для ЛВС</v>
      </c>
      <c r="B14" s="44" t="str">
        <f>IF('Р 1. "Общие сведения"'!J14="","",'Р 1. "Общие сведения"'!J14)</f>
        <v>818.С.007П</v>
      </c>
      <c r="C14" s="44" t="str">
        <f>IF('Р 1. "Общие сведения"'!H14="","",'Р 1. "Общие сведения"'!H14)</f>
        <v>Создание</v>
      </c>
      <c r="D14" s="44" t="str">
        <f>IF('Р 1. "Общие сведения"'!D14="","",'Р 1. "Общие сведения"'!D14)</f>
        <v>АРМ, оборудование для ЛВС</v>
      </c>
      <c r="E14" s="44" t="str">
        <f>IF('Р 1. "Общие сведения"'!K14="","",'Р 1. "Общие сведения"'!K14)</f>
        <v>отсутствует</v>
      </c>
      <c r="F14" s="45">
        <f>IF(OR(Таблица26[[#This Row],[Столбец1]]="",Таблица26[[#This Row],[Столбец5]]="",),"",VLOOKUP(A14,Таблица9[#All],2,FALSE))</f>
        <v>1710</v>
      </c>
      <c r="G14" s="45">
        <f>IF(OR(Таблица26[[#This Row],[Столбец1]]="",Таблица26[[#This Row],[Столбец5]]=""),"",VLOOKUP(A14,'Р 5. Финансирование'!$A$9:$D$100,3,FALSE))</f>
        <v>675</v>
      </c>
      <c r="H14" s="45">
        <f>IF(OR(Таблица26[[#This Row],[Столбец1]]="",Таблица26[[#This Row],[Столбец5]]=""),"",VLOOKUP(A14,'Р 5. Финансирование'!$A$9:$D$100,4,FALSE))</f>
        <v>675</v>
      </c>
      <c r="I14" s="44" t="str">
        <f>IF(OR(Таблица26[[#This Row],[Столбец5]]="отсутствует",Таблица26[[#This Row],[Столбец5]]=""),"",VLOOKUP(A14,'Р 4. Показатели_индикаторы'!$A$9:$J$103,3,FALSE))</f>
        <v/>
      </c>
      <c r="J14" s="46" t="str">
        <f>IF(OR(Таблица26[[#This Row],[Столбец5]]="отсутствует",Таблица26[[#This Row],[Столбец5]]=""),"",VLOOKUP(A14,'Р 4. Показатели_индикаторы'!$A$9:$J$103,4,FALSE))</f>
        <v/>
      </c>
      <c r="K14" s="46" t="str">
        <f>IF(OR(Таблица26[[#This Row],[Столбец1]]="",Таблица26[[#This Row],[Столбец5]]="",Таблица26[[#This Row],[Столбец5]]="отсутствует"),"",VLOOKUP(A14,'Р 4. Показатели_индикаторы'!$A$9:$J$103,5,FALSE))</f>
        <v/>
      </c>
      <c r="L14" s="46" t="str">
        <f>IF(OR(Таблица26[[#This Row],[Столбец1]]="",Таблица26[[#This Row],[Столбец5]]="",Таблица26[[#This Row],[Столбец5]]="отсутствует"),"",VLOOKUP(A14,'Р 4. Показатели_индикаторы'!$A$9:$J$103,6,FALSE))</f>
        <v/>
      </c>
      <c r="M14" s="46" t="str">
        <f>IF(OR(Таблица26[[#This Row],[Столбец1]]="",Таблица26[[#This Row],[Столбец5]]="",Таблица26[[#This Row],[Столбец5]]="отсутствует"),"",VLOOKUP(A14,'Р 4. Показатели_индикаторы'!$A$9:$J$103,7,FALSE))</f>
        <v/>
      </c>
      <c r="N14" s="46" t="str">
        <f>IF(OR(Таблица26[[#This Row],[Столбец1]]="",Таблица26[[#This Row],[Столбец5]]="",Таблица26[[#This Row],[Столбец5]]="отсутствует"),"",VLOOKUP(A14,'Р 4. Показатели_индикаторы'!$A$9:$J$103,8,FALSE))</f>
        <v/>
      </c>
      <c r="O14" s="49" t="str">
        <f>IF(VLOOKUP(A14,'Р 1. "Общие сведения"'!$I$8:$L$179,4,FALSE)="","",VLOOKUP(A14,'Р 1. "Общие сведения"'!$I$8:$L$179,4,FALSE))</f>
        <v>Постановление Правительства Оренбургской области от 29.12.2018 № 915-пп «Об утверждении государственной программы «Развитие культуры Оренбургской области» на 2019–2024 годы»"; основное мероприятие 1.4 "Развитие архивного дела"</v>
      </c>
    </row>
    <row r="15" spans="1:15" x14ac:dyDescent="0.25">
      <c r="A15" s="48" t="str">
        <f>IF('Р 1. "Общие сведения"'!I15="","",'Р 1. "Общие сведения"'!I15)</f>
        <v/>
      </c>
      <c r="B15" s="44" t="str">
        <f>IF('Р 1. "Общие сведения"'!J15="","",'Р 1. "Общие сведения"'!J15)</f>
        <v/>
      </c>
      <c r="C15" s="44" t="str">
        <f>IF('Р 1. "Общие сведения"'!H15="","",'Р 1. "Общие сведения"'!H15)</f>
        <v/>
      </c>
      <c r="D15" s="44" t="str">
        <f>IF('Р 1. "Общие сведения"'!D15="","",'Р 1. "Общие сведения"'!D15)</f>
        <v/>
      </c>
      <c r="E15" s="44" t="str">
        <f>IF('Р 1. "Общие сведения"'!K15="","",'Р 1. "Общие сведения"'!K15)</f>
        <v/>
      </c>
      <c r="F15" s="45" t="str">
        <f>IF(OR(Таблица26[[#This Row],[Столбец1]]="",Таблица26[[#This Row],[Столбец5]]="",),"",VLOOKUP(A15,Таблица9[#All],2,FALSE))</f>
        <v/>
      </c>
      <c r="G15" s="45" t="str">
        <f>IF(OR(Таблица26[[#This Row],[Столбец1]]="",Таблица26[[#This Row],[Столбец5]]=""),"",VLOOKUP(A15,'Р 5. Финансирование'!$A$9:$D$100,3,FALSE))</f>
        <v/>
      </c>
      <c r="H15" s="45" t="str">
        <f>IF(OR(Таблица26[[#This Row],[Столбец1]]="",Таблица26[[#This Row],[Столбец5]]=""),"",VLOOKUP(A15,'Р 5. Финансирование'!$A$9:$D$100,4,FALSE))</f>
        <v/>
      </c>
      <c r="I15" s="44" t="str">
        <f>IF(OR(Таблица26[[#This Row],[Столбец5]]="отсутствует",Таблица26[[#This Row],[Столбец5]]=""),"",VLOOKUP(A15,'Р 4. Показатели_индикаторы'!$A$9:$J$103,3,FALSE))</f>
        <v/>
      </c>
      <c r="J15" s="46" t="str">
        <f>IF(OR(Таблица26[[#This Row],[Столбец5]]="отсутствует",Таблица26[[#This Row],[Столбец5]]=""),"",VLOOKUP(A15,'Р 4. Показатели_индикаторы'!$A$9:$J$103,4,FALSE))</f>
        <v/>
      </c>
      <c r="K15" s="46" t="str">
        <f>IF(OR(Таблица26[[#This Row],[Столбец1]]="",Таблица26[[#This Row],[Столбец5]]="",Таблица26[[#This Row],[Столбец5]]="отсутствует"),"",VLOOKUP(A15,'Р 4. Показатели_индикаторы'!$A$9:$J$103,5,FALSE))</f>
        <v/>
      </c>
      <c r="L15" s="46" t="str">
        <f>IF(OR(Таблица26[[#This Row],[Столбец1]]="",Таблица26[[#This Row],[Столбец5]]="",Таблица26[[#This Row],[Столбец5]]="отсутствует"),"",VLOOKUP(A15,'Р 4. Показатели_индикаторы'!$A$9:$J$103,6,FALSE))</f>
        <v/>
      </c>
      <c r="M15" s="46" t="str">
        <f>IF(OR(Таблица26[[#This Row],[Столбец1]]="",Таблица26[[#This Row],[Столбец5]]="",Таблица26[[#This Row],[Столбец5]]="отсутствует"),"",VLOOKUP(A15,'Р 4. Показатели_индикаторы'!$A$9:$J$103,7,FALSE))</f>
        <v/>
      </c>
      <c r="N15" s="46" t="str">
        <f>IF(OR(Таблица26[[#This Row],[Столбец1]]="",Таблица26[[#This Row],[Столбец5]]="",Таблица26[[#This Row],[Столбец5]]="отсутствует"),"",VLOOKUP(A15,'Р 4. Показатели_индикаторы'!$A$9:$J$103,8,FALSE))</f>
        <v/>
      </c>
      <c r="O15" s="49" t="e">
        <f>IF(VLOOKUP(A15,'Р 1. "Общие сведения"'!$I$8:$L$179,4,FALSE)="","",VLOOKUP(A15,'Р 1. "Общие сведения"'!$I$8:$L$179,4,FALSE))</f>
        <v>#N/A</v>
      </c>
    </row>
    <row r="16" spans="1:15" x14ac:dyDescent="0.25">
      <c r="A16" s="48" t="str">
        <f>IF('Р 1. "Общие сведения"'!I16="","",'Р 1. "Общие сведения"'!I16)</f>
        <v/>
      </c>
      <c r="B16" s="44" t="str">
        <f>IF('Р 1. "Общие сведения"'!J16="","",'Р 1. "Общие сведения"'!J16)</f>
        <v/>
      </c>
      <c r="C16" s="44" t="str">
        <f>IF('Р 1. "Общие сведения"'!H16="","",'Р 1. "Общие сведения"'!H16)</f>
        <v/>
      </c>
      <c r="D16" s="44" t="str">
        <f>IF('Р 1. "Общие сведения"'!D16="","",'Р 1. "Общие сведения"'!D16)</f>
        <v/>
      </c>
      <c r="E16" s="44" t="str">
        <f>IF('Р 1. "Общие сведения"'!K16="","",'Р 1. "Общие сведения"'!K16)</f>
        <v/>
      </c>
      <c r="F16" s="45" t="str">
        <f>IF(OR(Таблица26[[#This Row],[Столбец1]]="",Таблица26[[#This Row],[Столбец5]]="",),"",VLOOKUP(A16,Таблица9[#All],2,FALSE))</f>
        <v/>
      </c>
      <c r="G16" s="47" t="str">
        <f>IF(OR(Таблица26[[#This Row],[Столбец1]]="",Таблица26[[#This Row],[Столбец5]]=""),"",VLOOKUP(A16,'Р 5. Финансирование'!$A$9:$D$100,3,FALSE))</f>
        <v/>
      </c>
      <c r="H16" s="47" t="str">
        <f>IF(OR(Таблица26[[#This Row],[Столбец1]]="",Таблица26[[#This Row],[Столбец5]]=""),"",VLOOKUP(A16,'Р 5. Финансирование'!$A$9:$D$100,4,FALSE))</f>
        <v/>
      </c>
      <c r="I16" s="6" t="str">
        <f>IF(OR(Таблица26[[#This Row],[Столбец5]]="отсутствует",Таблица26[[#This Row],[Столбец5]]=""),"",VLOOKUP(A16,'Р 4. Показатели_индикаторы'!$A$9:$J$103,3,FALSE))</f>
        <v/>
      </c>
      <c r="J16" s="46" t="str">
        <f>IF(OR(Таблица26[[#This Row],[Столбец5]]="отсутствует",Таблица26[[#This Row],[Столбец5]]=""),"",VLOOKUP(A16,'Р 4. Показатели_индикаторы'!$A$9:$J$103,4,FALSE))</f>
        <v/>
      </c>
      <c r="K16" s="46" t="str">
        <f>IF(OR(Таблица26[[#This Row],[Столбец1]]="",Таблица26[[#This Row],[Столбец5]]="",Таблица26[[#This Row],[Столбец5]]="отсутствует"),"",VLOOKUP(A16,'Р 4. Показатели_индикаторы'!$A$9:$J$103,5,FALSE))</f>
        <v/>
      </c>
      <c r="L16" s="46" t="str">
        <f>IF(OR(Таблица26[[#This Row],[Столбец1]]="",Таблица26[[#This Row],[Столбец5]]="",Таблица26[[#This Row],[Столбец5]]="отсутствует"),"",VLOOKUP(A16,'Р 4. Показатели_индикаторы'!$A$9:$J$103,6,FALSE))</f>
        <v/>
      </c>
      <c r="M16" s="46" t="str">
        <f>IF(OR(Таблица26[[#This Row],[Столбец1]]="",Таблица26[[#This Row],[Столбец5]]="",Таблица26[[#This Row],[Столбец5]]="отсутствует"),"",VLOOKUP(A16,'Р 4. Показатели_индикаторы'!$A$9:$J$103,7,FALSE))</f>
        <v/>
      </c>
      <c r="N16" s="46" t="str">
        <f>IF(OR(Таблица26[[#This Row],[Столбец1]]="",Таблица26[[#This Row],[Столбец5]]="",Таблица26[[#This Row],[Столбец5]]="отсутствует"),"",VLOOKUP(A16,'Р 4. Показатели_индикаторы'!$A$9:$J$103,8,FALSE))</f>
        <v/>
      </c>
      <c r="O16" s="49" t="e">
        <f>IF(VLOOKUP(A16,'Р 1. "Общие сведения"'!$I$8:$L$179,4,FALSE)="","",VLOOKUP(A16,'Р 1. "Общие сведения"'!$I$8:$L$179,4,FALSE))</f>
        <v>#N/A</v>
      </c>
    </row>
    <row r="17" spans="1:15" x14ac:dyDescent="0.25">
      <c r="A17" s="48" t="str">
        <f>IF('Р 1. "Общие сведения"'!I17="","",'Р 1. "Общие сведения"'!I17)</f>
        <v/>
      </c>
      <c r="B17" s="44" t="str">
        <f>IF('Р 1. "Общие сведения"'!J17="","",'Р 1. "Общие сведения"'!J17)</f>
        <v/>
      </c>
      <c r="C17" s="44" t="str">
        <f>IF('Р 1. "Общие сведения"'!H17="","",'Р 1. "Общие сведения"'!H17)</f>
        <v/>
      </c>
      <c r="D17" s="44" t="str">
        <f>IF('Р 1. "Общие сведения"'!D17="","",'Р 1. "Общие сведения"'!D17)</f>
        <v/>
      </c>
      <c r="E17" s="44" t="str">
        <f>IF('Р 1. "Общие сведения"'!K17="","",'Р 1. "Общие сведения"'!K17)</f>
        <v/>
      </c>
      <c r="F17" s="45" t="str">
        <f>IF(OR(Таблица26[[#This Row],[Столбец1]]="",Таблица26[[#This Row],[Столбец5]]="",),"",VLOOKUP(A17,Таблица9[#All],2,FALSE))</f>
        <v/>
      </c>
      <c r="G17" s="47" t="str">
        <f>IF(OR(Таблица26[[#This Row],[Столбец1]]="",Таблица26[[#This Row],[Столбец5]]=""),"",VLOOKUP(A17,'Р 5. Финансирование'!$A$9:$D$100,3,FALSE))</f>
        <v/>
      </c>
      <c r="H17" s="47" t="str">
        <f>IF(OR(Таблица26[[#This Row],[Столбец1]]="",Таблица26[[#This Row],[Столбец5]]=""),"",VLOOKUP(A17,'Р 5. Финансирование'!$A$9:$D$100,4,FALSE))</f>
        <v/>
      </c>
      <c r="I17" s="6" t="str">
        <f>IF(OR(Таблица26[[#This Row],[Столбец5]]="отсутствует",Таблица26[[#This Row],[Столбец5]]=""),"",VLOOKUP(A17,'Р 4. Показатели_индикаторы'!$A$9:$J$103,3,FALSE))</f>
        <v/>
      </c>
      <c r="J17" s="7" t="str">
        <f>IF(OR(Таблица26[[#This Row],[Столбец5]]="отсутствует",Таблица26[[#This Row],[Столбец5]]=""),"",VLOOKUP(A17,'Р 4. Показатели_индикаторы'!$A$9:$J$103,4,FALSE))</f>
        <v/>
      </c>
      <c r="K17" s="7" t="str">
        <f>IF(OR(Таблица26[[#This Row],[Столбец1]]="",Таблица26[[#This Row],[Столбец5]]="",Таблица26[[#This Row],[Столбец5]]="отсутствует"),"",VLOOKUP(A17,'Р 4. Показатели_индикаторы'!$A$9:$J$103,5,FALSE))</f>
        <v/>
      </c>
      <c r="L17" s="7" t="str">
        <f>IF(OR(Таблица26[[#This Row],[Столбец1]]="",Таблица26[[#This Row],[Столбец5]]="",Таблица26[[#This Row],[Столбец5]]="отсутствует"),"",VLOOKUP(A17,'Р 4. Показатели_индикаторы'!$A$9:$J$103,6,FALSE))</f>
        <v/>
      </c>
      <c r="M17" s="7" t="str">
        <f>IF(OR(Таблица26[[#This Row],[Столбец1]]="",Таблица26[[#This Row],[Столбец5]]="",Таблица26[[#This Row],[Столбец5]]="отсутствует"),"",VLOOKUP(A17,'Р 4. Показатели_индикаторы'!$A$9:$J$103,7,FALSE))</f>
        <v/>
      </c>
      <c r="N17" s="7" t="str">
        <f>IF(OR(Таблица26[[#This Row],[Столбец1]]="",Таблица26[[#This Row],[Столбец5]]="",Таблица26[[#This Row],[Столбец5]]="отсутствует"),"",VLOOKUP(A17,'Р 4. Показатели_индикаторы'!$A$9:$J$103,8,FALSE))</f>
        <v/>
      </c>
      <c r="O17" s="10" t="e">
        <f>IF(VLOOKUP(A17,'Р 1. "Общие сведения"'!$I$8:$L$179,4,FALSE)="","",VLOOKUP(A17,'Р 1. "Общие сведения"'!$I$8:$L$179,4,FALSE))</f>
        <v>#N/A</v>
      </c>
    </row>
    <row r="18" spans="1:15" x14ac:dyDescent="0.25">
      <c r="A18" s="48" t="str">
        <f>IF('Р 1. "Общие сведения"'!I18="","",'Р 1. "Общие сведения"'!I18)</f>
        <v/>
      </c>
      <c r="B18" s="44" t="str">
        <f>IF('Р 1. "Общие сведения"'!J18="","",'Р 1. "Общие сведения"'!J18)</f>
        <v/>
      </c>
      <c r="C18" s="44" t="str">
        <f>IF('Р 1. "Общие сведения"'!H18="","",'Р 1. "Общие сведения"'!H18)</f>
        <v/>
      </c>
      <c r="D18" s="44" t="str">
        <f>IF('Р 1. "Общие сведения"'!D18="","",'Р 1. "Общие сведения"'!D18)</f>
        <v/>
      </c>
      <c r="E18" s="44" t="str">
        <f>IF('Р 1. "Общие сведения"'!K18="","",'Р 1. "Общие сведения"'!K18)</f>
        <v/>
      </c>
      <c r="F18" s="45" t="str">
        <f>IF(OR(Таблица26[[#This Row],[Столбец1]]="",Таблица26[[#This Row],[Столбец5]]="",),"",VLOOKUP(A18,Таблица9[#All],2,FALSE))</f>
        <v/>
      </c>
      <c r="G18" s="47" t="str">
        <f>IF(OR(Таблица26[[#This Row],[Столбец1]]="",Таблица26[[#This Row],[Столбец5]]=""),"",VLOOKUP(A18,'Р 5. Финансирование'!$A$9:$D$100,3,FALSE))</f>
        <v/>
      </c>
      <c r="H18" s="47" t="str">
        <f>IF(OR(Таблица26[[#This Row],[Столбец1]]="",Таблица26[[#This Row],[Столбец5]]=""),"",VLOOKUP(A18,'Р 5. Финансирование'!$A$9:$D$100,4,FALSE))</f>
        <v/>
      </c>
      <c r="I18" s="6" t="str">
        <f>IF(OR(Таблица26[[#This Row],[Столбец5]]="отсутствует",Таблица26[[#This Row],[Столбец5]]=""),"",VLOOKUP(A18,'Р 4. Показатели_индикаторы'!$A$9:$J$103,3,FALSE))</f>
        <v/>
      </c>
      <c r="J18" s="7" t="str">
        <f>IF(OR(Таблица26[[#This Row],[Столбец5]]="отсутствует",Таблица26[[#This Row],[Столбец5]]=""),"",VLOOKUP(A18,'Р 4. Показатели_индикаторы'!$A$9:$J$103,4,FALSE))</f>
        <v/>
      </c>
      <c r="K18" s="7" t="str">
        <f>IF(OR(Таблица26[[#This Row],[Столбец1]]="",Таблица26[[#This Row],[Столбец5]]="",Таблица26[[#This Row],[Столбец5]]="отсутствует"),"",VLOOKUP(A18,'Р 4. Показатели_индикаторы'!$A$9:$J$103,5,FALSE))</f>
        <v/>
      </c>
      <c r="L18" s="7" t="str">
        <f>IF(OR(Таблица26[[#This Row],[Столбец1]]="",Таблица26[[#This Row],[Столбец5]]="",Таблица26[[#This Row],[Столбец5]]="отсутствует"),"",VLOOKUP(A18,'Р 4. Показатели_индикаторы'!$A$9:$J$103,6,FALSE))</f>
        <v/>
      </c>
      <c r="M18" s="7" t="str">
        <f>IF(OR(Таблица26[[#This Row],[Столбец1]]="",Таблица26[[#This Row],[Столбец5]]="",Таблица26[[#This Row],[Столбец5]]="отсутствует"),"",VLOOKUP(A18,'Р 4. Показатели_индикаторы'!$A$9:$J$103,7,FALSE))</f>
        <v/>
      </c>
      <c r="N18" s="7" t="str">
        <f>IF(OR(Таблица26[[#This Row],[Столбец1]]="",Таблица26[[#This Row],[Столбец5]]="",Таблица26[[#This Row],[Столбец5]]="отсутствует"),"",VLOOKUP(A18,'Р 4. Показатели_индикаторы'!$A$9:$J$103,8,FALSE))</f>
        <v/>
      </c>
      <c r="O18" s="10" t="e">
        <f>IF(VLOOKUP(A18,'Р 1. "Общие сведения"'!$I$8:$L$179,4,FALSE)="","",VLOOKUP(A18,'Р 1. "Общие сведения"'!$I$8:$L$179,4,FALSE))</f>
        <v>#N/A</v>
      </c>
    </row>
    <row r="19" spans="1:15" x14ac:dyDescent="0.25">
      <c r="A19" s="48" t="str">
        <f>IF('Р 1. "Общие сведения"'!I19="","",'Р 1. "Общие сведения"'!I19)</f>
        <v/>
      </c>
      <c r="B19" s="44" t="str">
        <f>IF('Р 1. "Общие сведения"'!J19="","",'Р 1. "Общие сведения"'!J19)</f>
        <v/>
      </c>
      <c r="C19" s="44" t="str">
        <f>IF('Р 1. "Общие сведения"'!H19="","",'Р 1. "Общие сведения"'!H19)</f>
        <v/>
      </c>
      <c r="D19" s="44" t="str">
        <f>IF('Р 1. "Общие сведения"'!D19="","",'Р 1. "Общие сведения"'!D19)</f>
        <v/>
      </c>
      <c r="E19" s="44" t="str">
        <f>IF('Р 1. "Общие сведения"'!K19="","",'Р 1. "Общие сведения"'!K19)</f>
        <v/>
      </c>
      <c r="F19" s="45" t="str">
        <f>IF(OR(Таблица26[[#This Row],[Столбец1]]="",Таблица26[[#This Row],[Столбец5]]="",),"",VLOOKUP(A19,Таблица9[#All],2,FALSE))</f>
        <v/>
      </c>
      <c r="G19" s="47" t="str">
        <f>IF(OR(Таблица26[[#This Row],[Столбец1]]="",Таблица26[[#This Row],[Столбец5]]=""),"",VLOOKUP(A19,'Р 5. Финансирование'!$A$9:$D$100,3,FALSE))</f>
        <v/>
      </c>
      <c r="H19" s="47" t="str">
        <f>IF(OR(Таблица26[[#This Row],[Столбец1]]="",Таблица26[[#This Row],[Столбец5]]=""),"",VLOOKUP(A19,'Р 5. Финансирование'!$A$9:$D$100,4,FALSE))</f>
        <v/>
      </c>
      <c r="I19" s="6" t="str">
        <f>IF(OR(Таблица26[[#This Row],[Столбец5]]="отсутствует",Таблица26[[#This Row],[Столбец5]]=""),"",VLOOKUP(A19,'Р 4. Показатели_индикаторы'!$A$9:$J$103,3,FALSE))</f>
        <v/>
      </c>
      <c r="J19" s="7" t="str">
        <f>IF(OR(Таблица26[[#This Row],[Столбец5]]="отсутствует",Таблица26[[#This Row],[Столбец5]]=""),"",VLOOKUP(A19,'Р 4. Показатели_индикаторы'!$A$9:$J$103,4,FALSE))</f>
        <v/>
      </c>
      <c r="K19" s="7" t="str">
        <f>IF(OR(Таблица26[[#This Row],[Столбец1]]="",Таблица26[[#This Row],[Столбец5]]="",Таблица26[[#This Row],[Столбец5]]="отсутствует"),"",VLOOKUP(A19,'Р 4. Показатели_индикаторы'!$A$9:$J$103,5,FALSE))</f>
        <v/>
      </c>
      <c r="L19" s="7" t="str">
        <f>IF(OR(Таблица26[[#This Row],[Столбец1]]="",Таблица26[[#This Row],[Столбец5]]="",Таблица26[[#This Row],[Столбец5]]="отсутствует"),"",VLOOKUP(A19,'Р 4. Показатели_индикаторы'!$A$9:$J$103,6,FALSE))</f>
        <v/>
      </c>
      <c r="M19" s="7" t="str">
        <f>IF(OR(Таблица26[[#This Row],[Столбец1]]="",Таблица26[[#This Row],[Столбец5]]="",Таблица26[[#This Row],[Столбец5]]="отсутствует"),"",VLOOKUP(A19,'Р 4. Показатели_индикаторы'!$A$9:$J$103,7,FALSE))</f>
        <v/>
      </c>
      <c r="N19" s="7" t="str">
        <f>IF(OR(Таблица26[[#This Row],[Столбец1]]="",Таблица26[[#This Row],[Столбец5]]="",Таблица26[[#This Row],[Столбец5]]="отсутствует"),"",VLOOKUP(A19,'Р 4. Показатели_индикаторы'!$A$9:$J$103,8,FALSE))</f>
        <v/>
      </c>
      <c r="O19" s="10" t="e">
        <f>IF(VLOOKUP(A19,'Р 1. "Общие сведения"'!$I$8:$L$179,4,FALSE)="","",VLOOKUP(A19,'Р 1. "Общие сведения"'!$I$8:$L$179,4,FALSE))</f>
        <v>#N/A</v>
      </c>
    </row>
    <row r="20" spans="1:15" x14ac:dyDescent="0.25">
      <c r="A20" s="48" t="str">
        <f>IF('Р 1. "Общие сведения"'!I20="","",'Р 1. "Общие сведения"'!I20)</f>
        <v/>
      </c>
      <c r="B20" s="44" t="str">
        <f>IF('Р 1. "Общие сведения"'!J20="","",'Р 1. "Общие сведения"'!J20)</f>
        <v/>
      </c>
      <c r="C20" s="44" t="str">
        <f>IF('Р 1. "Общие сведения"'!H20="","",'Р 1. "Общие сведения"'!H20)</f>
        <v/>
      </c>
      <c r="D20" s="44" t="str">
        <f>IF('Р 1. "Общие сведения"'!D20="","",'Р 1. "Общие сведения"'!D20)</f>
        <v/>
      </c>
      <c r="E20" s="44" t="str">
        <f>IF('Р 1. "Общие сведения"'!K20="","",'Р 1. "Общие сведения"'!K20)</f>
        <v/>
      </c>
      <c r="F20" s="45" t="str">
        <f>IF(OR(Таблица26[[#This Row],[Столбец1]]="",Таблица26[[#This Row],[Столбец5]]="",),"",VLOOKUP(A20,Таблица9[#All],2,FALSE))</f>
        <v/>
      </c>
      <c r="G20" s="47" t="str">
        <f>IF(OR(Таблица26[[#This Row],[Столбец1]]="",Таблица26[[#This Row],[Столбец5]]=""),"",VLOOKUP(A20,'Р 5. Финансирование'!$A$9:$D$100,3,FALSE))</f>
        <v/>
      </c>
      <c r="H20" s="47" t="str">
        <f>IF(OR(Таблица26[[#This Row],[Столбец1]]="",Таблица26[[#This Row],[Столбец5]]=""),"",VLOOKUP(A20,'Р 5. Финансирование'!$A$9:$D$100,4,FALSE))</f>
        <v/>
      </c>
      <c r="I20" s="6" t="str">
        <f>IF(OR(Таблица26[[#This Row],[Столбец5]]="отсутствует",Таблица26[[#This Row],[Столбец5]]=""),"",VLOOKUP(A20,'Р 4. Показатели_индикаторы'!$A$9:$J$103,3,FALSE))</f>
        <v/>
      </c>
      <c r="J20" s="6" t="str">
        <f>IF(OR(Таблица26[[#This Row],[Столбец5]]="отсутствует",Таблица26[[#This Row],[Столбец5]]=""),"",VLOOKUP(A20,'Р 4. Показатели_индикаторы'!$A$9:$J$103,4,FALSE))</f>
        <v/>
      </c>
      <c r="K20" s="6" t="str">
        <f>IF(OR(Таблица26[[#This Row],[Столбец1]]="",Таблица26[[#This Row],[Столбец5]]="",Таблица26[[#This Row],[Столбец5]]="отсутствует"),"",VLOOKUP(A20,'Р 4. Показатели_индикаторы'!$A$9:$J$103,5,FALSE))</f>
        <v/>
      </c>
      <c r="L20" s="6" t="str">
        <f>IF(OR(Таблица26[[#This Row],[Столбец1]]="",Таблица26[[#This Row],[Столбец5]]="",Таблица26[[#This Row],[Столбец5]]="отсутствует"),"",VLOOKUP(A20,'Р 4. Показатели_индикаторы'!$A$9:$J$103,6,FALSE))</f>
        <v/>
      </c>
      <c r="M20" s="6" t="str">
        <f>IF(OR(Таблица26[[#This Row],[Столбец1]]="",Таблица26[[#This Row],[Столбец5]]="",Таблица26[[#This Row],[Столбец5]]="отсутствует"),"",VLOOKUP(A20,'Р 4. Показатели_индикаторы'!$A$9:$J$103,7,FALSE))</f>
        <v/>
      </c>
      <c r="N20" s="6" t="str">
        <f>IF(OR(Таблица26[[#This Row],[Столбец1]]="",Таблица26[[#This Row],[Столбец5]]="",Таблица26[[#This Row],[Столбец5]]="отсутствует"),"",VLOOKUP(A20,'Р 4. Показатели_индикаторы'!$A$9:$J$103,8,FALSE))</f>
        <v/>
      </c>
      <c r="O20" s="10" t="e">
        <f>IF(VLOOKUP(A20,'Р 1. "Общие сведения"'!$I$8:$L$179,4,FALSE)="","",VLOOKUP(A20,'Р 1. "Общие сведения"'!$I$8:$L$179,4,FALSE))</f>
        <v>#N/A</v>
      </c>
    </row>
    <row r="21" spans="1:15" x14ac:dyDescent="0.25">
      <c r="A21" s="48" t="str">
        <f>IF('Р 1. "Общие сведения"'!I21="","",'Р 1. "Общие сведения"'!I21)</f>
        <v/>
      </c>
      <c r="B21" s="44" t="str">
        <f>IF('Р 1. "Общие сведения"'!J21="","",'Р 1. "Общие сведения"'!J21)</f>
        <v/>
      </c>
      <c r="C21" s="44" t="str">
        <f>IF('Р 1. "Общие сведения"'!H21="","",'Р 1. "Общие сведения"'!H21)</f>
        <v/>
      </c>
      <c r="D21" s="44" t="str">
        <f>IF('Р 1. "Общие сведения"'!D21="","",'Р 1. "Общие сведения"'!D21)</f>
        <v/>
      </c>
      <c r="E21" s="44" t="str">
        <f>IF('Р 1. "Общие сведения"'!K21="","",'Р 1. "Общие сведения"'!K21)</f>
        <v/>
      </c>
      <c r="F21" s="45" t="str">
        <f>IF(OR(Таблица26[[#This Row],[Столбец1]]="",Таблица26[[#This Row],[Столбец5]]="",),"",VLOOKUP(A21,Таблица9[#All],2,FALSE))</f>
        <v/>
      </c>
      <c r="G21" s="47" t="str">
        <f>IF(OR(Таблица26[[#This Row],[Столбец1]]="",Таблица26[[#This Row],[Столбец5]]=""),"",VLOOKUP(A21,'Р 5. Финансирование'!$A$9:$D$100,3,FALSE))</f>
        <v/>
      </c>
      <c r="H21" s="47" t="str">
        <f>IF(OR(Таблица26[[#This Row],[Столбец1]]="",Таблица26[[#This Row],[Столбец5]]=""),"",VLOOKUP(A21,'Р 5. Финансирование'!$A$9:$D$100,4,FALSE))</f>
        <v/>
      </c>
      <c r="I21" s="6" t="str">
        <f>IF(OR(Таблица26[[#This Row],[Столбец5]]="отсутствует",Таблица26[[#This Row],[Столбец5]]=""),"",VLOOKUP(A21,'Р 4. Показатели_индикаторы'!$A$9:$J$103,3,FALSE))</f>
        <v/>
      </c>
      <c r="J21" s="6" t="str">
        <f>IF(OR(Таблица26[[#This Row],[Столбец5]]="отсутствует",Таблица26[[#This Row],[Столбец5]]=""),"",VLOOKUP(A21,'Р 4. Показатели_индикаторы'!$A$9:$J$103,4,FALSE))</f>
        <v/>
      </c>
      <c r="K21" s="6" t="str">
        <f>IF(OR(Таблица26[[#This Row],[Столбец1]]="",Таблица26[[#This Row],[Столбец5]]="",Таблица26[[#This Row],[Столбец5]]="отсутствует"),"",VLOOKUP(A21,'Р 4. Показатели_индикаторы'!$A$9:$J$103,5,FALSE))</f>
        <v/>
      </c>
      <c r="L21" s="6" t="str">
        <f>IF(OR(Таблица26[[#This Row],[Столбец1]]="",Таблица26[[#This Row],[Столбец5]]="",Таблица26[[#This Row],[Столбец5]]="отсутствует"),"",VLOOKUP(A21,'Р 4. Показатели_индикаторы'!$A$9:$J$103,6,FALSE))</f>
        <v/>
      </c>
      <c r="M21" s="6" t="str">
        <f>IF(OR(Таблица26[[#This Row],[Столбец1]]="",Таблица26[[#This Row],[Столбец5]]="",Таблица26[[#This Row],[Столбец5]]="отсутствует"),"",VLOOKUP(A21,'Р 4. Показатели_индикаторы'!$A$9:$J$103,7,FALSE))</f>
        <v/>
      </c>
      <c r="N21" s="6" t="str">
        <f>IF(OR(Таблица26[[#This Row],[Столбец1]]="",Таблица26[[#This Row],[Столбец5]]="",Таблица26[[#This Row],[Столбец5]]="отсутствует"),"",VLOOKUP(A21,'Р 4. Показатели_индикаторы'!$A$9:$J$103,8,FALSE))</f>
        <v/>
      </c>
      <c r="O21" s="10" t="e">
        <f>IF(VLOOKUP(A21,'Р 1. "Общие сведения"'!$I$8:$L$179,4,FALSE)="","",VLOOKUP(A21,'Р 1. "Общие сведения"'!$I$8:$L$179,4,FALSE))</f>
        <v>#N/A</v>
      </c>
    </row>
    <row r="22" spans="1:15" x14ac:dyDescent="0.25">
      <c r="A22" s="48" t="str">
        <f>IF('Р 1. "Общие сведения"'!I22="","",'Р 1. "Общие сведения"'!I22)</f>
        <v/>
      </c>
      <c r="B22" s="44" t="str">
        <f>IF('Р 1. "Общие сведения"'!J22="","",'Р 1. "Общие сведения"'!J22)</f>
        <v/>
      </c>
      <c r="C22" s="44" t="str">
        <f>IF('Р 1. "Общие сведения"'!H22="","",'Р 1. "Общие сведения"'!H22)</f>
        <v/>
      </c>
      <c r="D22" s="44" t="str">
        <f>IF('Р 1. "Общие сведения"'!D22="","",'Р 1. "Общие сведения"'!D22)</f>
        <v/>
      </c>
      <c r="E22" s="44" t="str">
        <f>IF('Р 1. "Общие сведения"'!K22="","",'Р 1. "Общие сведения"'!K22)</f>
        <v/>
      </c>
      <c r="F22" s="45" t="str">
        <f>IF(OR(Таблица26[[#This Row],[Столбец1]]="",Таблица26[[#This Row],[Столбец5]]="",),"",VLOOKUP(A22,Таблица9[#All],2,FALSE))</f>
        <v/>
      </c>
      <c r="G22" s="47" t="str">
        <f>IF(OR(Таблица26[[#This Row],[Столбец1]]="",Таблица26[[#This Row],[Столбец5]]=""),"",VLOOKUP(A22,'Р 5. Финансирование'!$A$9:$D$100,3,FALSE))</f>
        <v/>
      </c>
      <c r="H22" s="47" t="str">
        <f>IF(OR(Таблица26[[#This Row],[Столбец1]]="",Таблица26[[#This Row],[Столбец5]]=""),"",VLOOKUP(A22,'Р 5. Финансирование'!$A$9:$D$100,4,FALSE))</f>
        <v/>
      </c>
      <c r="I22" s="6" t="str">
        <f>IF(OR(Таблица26[[#This Row],[Столбец5]]="отсутствует",Таблица26[[#This Row],[Столбец5]]=""),"",VLOOKUP(A22,'Р 4. Показатели_индикаторы'!$A$9:$J$103,3,FALSE))</f>
        <v/>
      </c>
      <c r="J22" s="6" t="str">
        <f>IF(OR(Таблица26[[#This Row],[Столбец5]]="отсутствует",Таблица26[[#This Row],[Столбец5]]=""),"",VLOOKUP(A22,'Р 4. Показатели_индикаторы'!$A$9:$J$103,4,FALSE))</f>
        <v/>
      </c>
      <c r="K22" s="6" t="str">
        <f>IF(OR(Таблица26[[#This Row],[Столбец1]]="",Таблица26[[#This Row],[Столбец5]]="",Таблица26[[#This Row],[Столбец5]]="отсутствует"),"",VLOOKUP(A22,'Р 4. Показатели_индикаторы'!$A$9:$J$103,5,FALSE))</f>
        <v/>
      </c>
      <c r="L22" s="6" t="str">
        <f>IF(OR(Таблица26[[#This Row],[Столбец1]]="",Таблица26[[#This Row],[Столбец5]]="",Таблица26[[#This Row],[Столбец5]]="отсутствует"),"",VLOOKUP(A22,'Р 4. Показатели_индикаторы'!$A$9:$J$103,6,FALSE))</f>
        <v/>
      </c>
      <c r="M22" s="6" t="str">
        <f>IF(OR(Таблица26[[#This Row],[Столбец1]]="",Таблица26[[#This Row],[Столбец5]]="",Таблица26[[#This Row],[Столбец5]]="отсутствует"),"",VLOOKUP(A22,'Р 4. Показатели_индикаторы'!$A$9:$J$103,7,FALSE))</f>
        <v/>
      </c>
      <c r="N22" s="6" t="str">
        <f>IF(OR(Таблица26[[#This Row],[Столбец1]]="",Таблица26[[#This Row],[Столбец5]]="",Таблица26[[#This Row],[Столбец5]]="отсутствует"),"",VLOOKUP(A22,'Р 4. Показатели_индикаторы'!$A$9:$J$103,8,FALSE))</f>
        <v/>
      </c>
      <c r="O22" s="10" t="e">
        <f>IF(VLOOKUP(A22,'Р 1. "Общие сведения"'!$I$8:$L$179,4,FALSE)="","",VLOOKUP(A22,'Р 1. "Общие сведения"'!$I$8:$L$179,4,FALSE))</f>
        <v>#N/A</v>
      </c>
    </row>
    <row r="23" spans="1:15" x14ac:dyDescent="0.25">
      <c r="A23" s="48" t="str">
        <f>IF('Р 1. "Общие сведения"'!I23="","",'Р 1. "Общие сведения"'!I23)</f>
        <v/>
      </c>
      <c r="B23" s="44" t="str">
        <f>IF('Р 1. "Общие сведения"'!J23="","",'Р 1. "Общие сведения"'!J23)</f>
        <v/>
      </c>
      <c r="C23" s="44" t="str">
        <f>IF('Р 1. "Общие сведения"'!H23="","",'Р 1. "Общие сведения"'!H23)</f>
        <v/>
      </c>
      <c r="D23" s="44" t="str">
        <f>IF('Р 1. "Общие сведения"'!D23="","",'Р 1. "Общие сведения"'!D23)</f>
        <v/>
      </c>
      <c r="E23" s="44" t="str">
        <f>IF('Р 1. "Общие сведения"'!K23="","",'Р 1. "Общие сведения"'!K23)</f>
        <v/>
      </c>
      <c r="F23" s="45" t="str">
        <f>IF(OR(Таблица26[[#This Row],[Столбец1]]="",Таблица26[[#This Row],[Столбец5]]="",),"",VLOOKUP(A23,Таблица9[#All],2,FALSE))</f>
        <v/>
      </c>
      <c r="G23" s="47" t="str">
        <f>IF(OR(Таблица26[[#This Row],[Столбец1]]="",Таблица26[[#This Row],[Столбец5]]=""),"",VLOOKUP(A23,'Р 5. Финансирование'!$A$9:$D$100,3,FALSE))</f>
        <v/>
      </c>
      <c r="H23" s="47" t="str">
        <f>IF(OR(Таблица26[[#This Row],[Столбец1]]="",Таблица26[[#This Row],[Столбец5]]=""),"",VLOOKUP(A23,'Р 5. Финансирование'!$A$9:$D$100,4,FALSE))</f>
        <v/>
      </c>
      <c r="I23" s="6" t="str">
        <f>IF(OR(Таблица26[[#This Row],[Столбец5]]="отсутствует",Таблица26[[#This Row],[Столбец5]]=""),"",VLOOKUP(A23,'Р 4. Показатели_индикаторы'!$A$9:$J$103,3,FALSE))</f>
        <v/>
      </c>
      <c r="J23" s="6" t="str">
        <f>IF(OR(Таблица26[[#This Row],[Столбец5]]="отсутствует",Таблица26[[#This Row],[Столбец5]]=""),"",VLOOKUP(A23,'Р 4. Показатели_индикаторы'!$A$9:$J$103,4,FALSE))</f>
        <v/>
      </c>
      <c r="K23" s="6" t="str">
        <f>IF(OR(Таблица26[[#This Row],[Столбец1]]="",Таблица26[[#This Row],[Столбец5]]="",Таблица26[[#This Row],[Столбец5]]="отсутствует"),"",VLOOKUP(A23,'Р 4. Показатели_индикаторы'!$A$9:$J$103,5,FALSE))</f>
        <v/>
      </c>
      <c r="L23" s="6" t="str">
        <f>IF(OR(Таблица26[[#This Row],[Столбец1]]="",Таблица26[[#This Row],[Столбец5]]="",Таблица26[[#This Row],[Столбец5]]="отсутствует"),"",VLOOKUP(A23,'Р 4. Показатели_индикаторы'!$A$9:$J$103,6,FALSE))</f>
        <v/>
      </c>
      <c r="M23" s="6" t="str">
        <f>IF(OR(Таблица26[[#This Row],[Столбец1]]="",Таблица26[[#This Row],[Столбец5]]="",Таблица26[[#This Row],[Столбец5]]="отсутствует"),"",VLOOKUP(A23,'Р 4. Показатели_индикаторы'!$A$9:$J$103,7,FALSE))</f>
        <v/>
      </c>
      <c r="N23" s="6" t="str">
        <f>IF(OR(Таблица26[[#This Row],[Столбец1]]="",Таблица26[[#This Row],[Столбец5]]="",Таблица26[[#This Row],[Столбец5]]="отсутствует"),"",VLOOKUP(A23,'Р 4. Показатели_индикаторы'!$A$9:$J$103,8,FALSE))</f>
        <v/>
      </c>
      <c r="O23" s="10" t="e">
        <f>IF(VLOOKUP(A23,'Р 1. "Общие сведения"'!$I$8:$L$179,4,FALSE)="","",VLOOKUP(A23,'Р 1. "Общие сведения"'!$I$8:$L$179,4,FALSE))</f>
        <v>#N/A</v>
      </c>
    </row>
    <row r="24" spans="1:15" x14ac:dyDescent="0.25">
      <c r="A24" s="48" t="str">
        <f>IF('Р 1. "Общие сведения"'!I24="","",'Р 1. "Общие сведения"'!I24)</f>
        <v/>
      </c>
      <c r="B24" s="44" t="str">
        <f>IF('Р 1. "Общие сведения"'!J24="","",'Р 1. "Общие сведения"'!J24)</f>
        <v/>
      </c>
      <c r="C24" s="44" t="str">
        <f>IF('Р 1. "Общие сведения"'!H24="","",'Р 1. "Общие сведения"'!H24)</f>
        <v/>
      </c>
      <c r="D24" s="44" t="str">
        <f>IF('Р 1. "Общие сведения"'!D24="","",'Р 1. "Общие сведения"'!D24)</f>
        <v/>
      </c>
      <c r="E24" s="44" t="str">
        <f>IF('Р 1. "Общие сведения"'!K24="","",'Р 1. "Общие сведения"'!K24)</f>
        <v/>
      </c>
      <c r="F24" s="45" t="str">
        <f>IF(OR(Таблица26[[#This Row],[Столбец1]]="",Таблица26[[#This Row],[Столбец5]]="",),"",VLOOKUP(A24,Таблица9[#All],2,FALSE))</f>
        <v/>
      </c>
      <c r="G24" s="47" t="str">
        <f>IF(OR(Таблица26[[#This Row],[Столбец1]]="",Таблица26[[#This Row],[Столбец5]]=""),"",VLOOKUP(A24,'Р 5. Финансирование'!$A$9:$D$100,3,FALSE))</f>
        <v/>
      </c>
      <c r="H24" s="47" t="str">
        <f>IF(OR(Таблица26[[#This Row],[Столбец1]]="",Таблица26[[#This Row],[Столбец5]]=""),"",VLOOKUP(A24,'Р 5. Финансирование'!$A$9:$D$100,4,FALSE))</f>
        <v/>
      </c>
      <c r="I24" s="6" t="str">
        <f>IF(OR(Таблица26[[#This Row],[Столбец5]]="отсутствует",Таблица26[[#This Row],[Столбец5]]=""),"",VLOOKUP(A24,'Р 4. Показатели_индикаторы'!$A$9:$J$103,3,FALSE))</f>
        <v/>
      </c>
      <c r="J24" s="6" t="str">
        <f>IF(OR(Таблица26[[#This Row],[Столбец5]]="отсутствует",Таблица26[[#This Row],[Столбец5]]=""),"",VLOOKUP(A24,'Р 4. Показатели_индикаторы'!$A$9:$J$103,4,FALSE))</f>
        <v/>
      </c>
      <c r="K24" s="6" t="str">
        <f>IF(OR(Таблица26[[#This Row],[Столбец1]]="",Таблица26[[#This Row],[Столбец5]]="",Таблица26[[#This Row],[Столбец5]]="отсутствует"),"",VLOOKUP(A24,'Р 4. Показатели_индикаторы'!$A$9:$J$103,5,FALSE))</f>
        <v/>
      </c>
      <c r="L24" s="6" t="str">
        <f>IF(OR(Таблица26[[#This Row],[Столбец1]]="",Таблица26[[#This Row],[Столбец5]]="",Таблица26[[#This Row],[Столбец5]]="отсутствует"),"",VLOOKUP(A24,'Р 4. Показатели_индикаторы'!$A$9:$J$103,6,FALSE))</f>
        <v/>
      </c>
      <c r="M24" s="6" t="str">
        <f>IF(OR(Таблица26[[#This Row],[Столбец1]]="",Таблица26[[#This Row],[Столбец5]]="",Таблица26[[#This Row],[Столбец5]]="отсутствует"),"",VLOOKUP(A24,'Р 4. Показатели_индикаторы'!$A$9:$J$103,7,FALSE))</f>
        <v/>
      </c>
      <c r="N24" s="6" t="str">
        <f>IF(OR(Таблица26[[#This Row],[Столбец1]]="",Таблица26[[#This Row],[Столбец5]]="",Таблица26[[#This Row],[Столбец5]]="отсутствует"),"",VLOOKUP(A24,'Р 4. Показатели_индикаторы'!$A$9:$J$103,8,FALSE))</f>
        <v/>
      </c>
      <c r="O24" s="10" t="e">
        <f>IF(VLOOKUP(A24,'Р 1. "Общие сведения"'!$I$8:$L$179,4,FALSE)="","",VLOOKUP(A24,'Р 1. "Общие сведения"'!$I$8:$L$179,4,FALSE))</f>
        <v>#N/A</v>
      </c>
    </row>
    <row r="25" spans="1:15" x14ac:dyDescent="0.25">
      <c r="A25" s="48" t="str">
        <f>IF('Р 1. "Общие сведения"'!I25="","",'Р 1. "Общие сведения"'!I25)</f>
        <v xml:space="preserve"> </v>
      </c>
      <c r="B25" s="44" t="str">
        <f>IF('Р 1. "Общие сведения"'!J25="","",'Р 1. "Общие сведения"'!J25)</f>
        <v/>
      </c>
      <c r="C25" s="44" t="str">
        <f>IF('Р 1. "Общие сведения"'!H25="","",'Р 1. "Общие сведения"'!H25)</f>
        <v/>
      </c>
      <c r="D25" s="44" t="str">
        <f>IF('Р 1. "Общие сведения"'!D25="","",'Р 1. "Общие сведения"'!D25)</f>
        <v/>
      </c>
      <c r="E25" s="44" t="str">
        <f>IF('Р 1. "Общие сведения"'!K25="","",'Р 1. "Общие сведения"'!K25)</f>
        <v/>
      </c>
      <c r="F25" s="45" t="str">
        <f>IF(OR(Таблица26[[#This Row],[Столбец1]]="",Таблица26[[#This Row],[Столбец5]]="",),"",VLOOKUP(A25,Таблица9[#All],2,FALSE))</f>
        <v/>
      </c>
      <c r="G25" s="47" t="str">
        <f>IF(OR(Таблица26[[#This Row],[Столбец1]]="",Таблица26[[#This Row],[Столбец5]]=""),"",VLOOKUP(A25,'Р 5. Финансирование'!$A$9:$D$100,3,FALSE))</f>
        <v/>
      </c>
      <c r="H25" s="47" t="str">
        <f>IF(OR(Таблица26[[#This Row],[Столбец1]]="",Таблица26[[#This Row],[Столбец5]]=""),"",VLOOKUP(A25,'Р 5. Финансирование'!$A$9:$D$100,4,FALSE))</f>
        <v/>
      </c>
      <c r="I25" s="6" t="str">
        <f>IF(OR(Таблица26[[#This Row],[Столбец5]]="отсутствует",Таблица26[[#This Row],[Столбец5]]=""),"",VLOOKUP(A25,'Р 4. Показатели_индикаторы'!$A$9:$J$103,3,FALSE))</f>
        <v/>
      </c>
      <c r="J25" s="6" t="str">
        <f>IF(OR(Таблица26[[#This Row],[Столбец5]]="отсутствует",Таблица26[[#This Row],[Столбец5]]=""),"",VLOOKUP(A25,'Р 4. Показатели_индикаторы'!$A$9:$J$103,4,FALSE))</f>
        <v/>
      </c>
      <c r="K25" s="6" t="str">
        <f>IF(OR(Таблица26[[#This Row],[Столбец1]]="",Таблица26[[#This Row],[Столбец5]]="",Таблица26[[#This Row],[Столбец5]]="отсутствует"),"",VLOOKUP(A25,'Р 4. Показатели_индикаторы'!$A$9:$J$103,5,FALSE))</f>
        <v/>
      </c>
      <c r="L25" s="6" t="str">
        <f>IF(OR(Таблица26[[#This Row],[Столбец1]]="",Таблица26[[#This Row],[Столбец5]]="",Таблица26[[#This Row],[Столбец5]]="отсутствует"),"",VLOOKUP(A25,'Р 4. Показатели_индикаторы'!$A$9:$J$103,6,FALSE))</f>
        <v/>
      </c>
      <c r="M25" s="6" t="str">
        <f>IF(OR(Таблица26[[#This Row],[Столбец1]]="",Таблица26[[#This Row],[Столбец5]]="",Таблица26[[#This Row],[Столбец5]]="отсутствует"),"",VLOOKUP(A25,'Р 4. Показатели_индикаторы'!$A$9:$J$103,7,FALSE))</f>
        <v/>
      </c>
      <c r="N25" s="6" t="str">
        <f>IF(OR(Таблица26[[#This Row],[Столбец1]]="",Таблица26[[#This Row],[Столбец5]]="",Таблица26[[#This Row],[Столбец5]]="отсутствует"),"",VLOOKUP(A25,'Р 4. Показатели_индикаторы'!$A$9:$J$103,8,FALSE))</f>
        <v/>
      </c>
      <c r="O25" s="10" t="str">
        <f>IF(VLOOKUP(A25,'Р 1. "Общие сведения"'!$I$8:$L$179,4,FALSE)="","",VLOOKUP(A25,'Р 1. "Общие сведения"'!$I$8:$L$179,4,FALSE))</f>
        <v/>
      </c>
    </row>
    <row r="26" spans="1:15" x14ac:dyDescent="0.25">
      <c r="A26" s="48" t="str">
        <f>IF('Р 1. "Общие сведения"'!I26="","",'Р 1. "Общие сведения"'!I26)</f>
        <v xml:space="preserve"> </v>
      </c>
      <c r="B26" s="44" t="str">
        <f>IF('Р 1. "Общие сведения"'!J26="","",'Р 1. "Общие сведения"'!J26)</f>
        <v/>
      </c>
      <c r="C26" s="44" t="str">
        <f>IF('Р 1. "Общие сведения"'!H26="","",'Р 1. "Общие сведения"'!H26)</f>
        <v/>
      </c>
      <c r="D26" s="44" t="str">
        <f>IF('Р 1. "Общие сведения"'!D26="","",'Р 1. "Общие сведения"'!D26)</f>
        <v/>
      </c>
      <c r="E26" s="44" t="str">
        <f>IF('Р 1. "Общие сведения"'!K26="","",'Р 1. "Общие сведения"'!K26)</f>
        <v/>
      </c>
      <c r="F26" s="45" t="str">
        <f>IF(OR(Таблица26[[#This Row],[Столбец1]]="",Таблица26[[#This Row],[Столбец5]]="",),"",VLOOKUP(A26,Таблица9[#All],2,FALSE))</f>
        <v/>
      </c>
      <c r="G26" s="47" t="str">
        <f>IF(OR(Таблица26[[#This Row],[Столбец1]]="",Таблица26[[#This Row],[Столбец5]]=""),"",VLOOKUP(A26,'Р 5. Финансирование'!$A$9:$D$100,3,FALSE))</f>
        <v/>
      </c>
      <c r="H26" s="47" t="str">
        <f>IF(OR(Таблица26[[#This Row],[Столбец1]]="",Таблица26[[#This Row],[Столбец5]]=""),"",VLOOKUP(A26,'Р 5. Финансирование'!$A$9:$D$100,4,FALSE))</f>
        <v/>
      </c>
      <c r="I26" s="6" t="str">
        <f>IF(OR(Таблица26[[#This Row],[Столбец5]]="отсутствует",Таблица26[[#This Row],[Столбец5]]=""),"",VLOOKUP(A26,'Р 4. Показатели_индикаторы'!$A$9:$J$103,3,FALSE))</f>
        <v/>
      </c>
      <c r="J26" s="6" t="str">
        <f>IF(OR(Таблица26[[#This Row],[Столбец5]]="отсутствует",Таблица26[[#This Row],[Столбец5]]=""),"",VLOOKUP(A26,'Р 4. Показатели_индикаторы'!$A$9:$J$103,4,FALSE))</f>
        <v/>
      </c>
      <c r="K26" s="6" t="str">
        <f>IF(OR(Таблица26[[#This Row],[Столбец1]]="",Таблица26[[#This Row],[Столбец5]]="",Таблица26[[#This Row],[Столбец5]]="отсутствует"),"",VLOOKUP(A26,'Р 4. Показатели_индикаторы'!$A$9:$J$103,5,FALSE))</f>
        <v/>
      </c>
      <c r="L26" s="6" t="str">
        <f>IF(OR(Таблица26[[#This Row],[Столбец1]]="",Таблица26[[#This Row],[Столбец5]]="",Таблица26[[#This Row],[Столбец5]]="отсутствует"),"",VLOOKUP(A26,'Р 4. Показатели_индикаторы'!$A$9:$J$103,6,FALSE))</f>
        <v/>
      </c>
      <c r="M26" s="6" t="str">
        <f>IF(OR(Таблица26[[#This Row],[Столбец1]]="",Таблица26[[#This Row],[Столбец5]]="",Таблица26[[#This Row],[Столбец5]]="отсутствует"),"",VLOOKUP(A26,'Р 4. Показатели_индикаторы'!$A$9:$J$103,7,FALSE))</f>
        <v/>
      </c>
      <c r="N26" s="6" t="str">
        <f>IF(OR(Таблица26[[#This Row],[Столбец1]]="",Таблица26[[#This Row],[Столбец5]]="",Таблица26[[#This Row],[Столбец5]]="отсутствует"),"",VLOOKUP(A26,'Р 4. Показатели_индикаторы'!$A$9:$J$103,8,FALSE))</f>
        <v/>
      </c>
      <c r="O26" s="10" t="str">
        <f>IF(VLOOKUP(A26,'Р 1. "Общие сведения"'!$I$8:$L$179,4,FALSE)="","",VLOOKUP(A26,'Р 1. "Общие сведения"'!$I$8:$L$179,4,FALSE))</f>
        <v/>
      </c>
    </row>
    <row r="27" spans="1:15" x14ac:dyDescent="0.25">
      <c r="A27" s="48" t="str">
        <f>IF('Р 1. "Общие сведения"'!I27="","",'Р 1. "Общие сведения"'!I27)</f>
        <v xml:space="preserve"> </v>
      </c>
      <c r="B27" s="44" t="str">
        <f>IF('Р 1. "Общие сведения"'!J27="","",'Р 1. "Общие сведения"'!J27)</f>
        <v/>
      </c>
      <c r="C27" s="44" t="str">
        <f>IF('Р 1. "Общие сведения"'!H27="","",'Р 1. "Общие сведения"'!H27)</f>
        <v/>
      </c>
      <c r="D27" s="44" t="str">
        <f>IF('Р 1. "Общие сведения"'!D27="","",'Р 1. "Общие сведения"'!D27)</f>
        <v/>
      </c>
      <c r="E27" s="44" t="str">
        <f>IF('Р 1. "Общие сведения"'!K27="","",'Р 1. "Общие сведения"'!K27)</f>
        <v/>
      </c>
      <c r="F27" s="45" t="str">
        <f>IF(OR(Таблица26[[#This Row],[Столбец1]]="",Таблица26[[#This Row],[Столбец5]]="",),"",VLOOKUP(A27,Таблица9[#All],2,FALSE))</f>
        <v/>
      </c>
      <c r="G27" s="47" t="str">
        <f>IF(OR(Таблица26[[#This Row],[Столбец1]]="",Таблица26[[#This Row],[Столбец5]]=""),"",VLOOKUP(A27,'Р 5. Финансирование'!$A$9:$D$100,3,FALSE))</f>
        <v/>
      </c>
      <c r="H27" s="47" t="str">
        <f>IF(OR(Таблица26[[#This Row],[Столбец1]]="",Таблица26[[#This Row],[Столбец5]]=""),"",VLOOKUP(A27,'Р 5. Финансирование'!$A$9:$D$100,4,FALSE))</f>
        <v/>
      </c>
      <c r="I27" s="6" t="str">
        <f>IF(OR(Таблица26[[#This Row],[Столбец5]]="отсутствует",Таблица26[[#This Row],[Столбец5]]=""),"",VLOOKUP(A27,'Р 4. Показатели_индикаторы'!$A$9:$J$103,3,FALSE))</f>
        <v/>
      </c>
      <c r="J27" s="6" t="str">
        <f>IF(OR(Таблица26[[#This Row],[Столбец5]]="отсутствует",Таблица26[[#This Row],[Столбец5]]=""),"",VLOOKUP(A27,'Р 4. Показатели_индикаторы'!$A$9:$J$103,4,FALSE))</f>
        <v/>
      </c>
      <c r="K27" s="6" t="str">
        <f>IF(OR(Таблица26[[#This Row],[Столбец1]]="",Таблица26[[#This Row],[Столбец5]]="",Таблица26[[#This Row],[Столбец5]]="отсутствует"),"",VLOOKUP(A27,'Р 4. Показатели_индикаторы'!$A$9:$J$103,5,FALSE))</f>
        <v/>
      </c>
      <c r="L27" s="6" t="str">
        <f>IF(OR(Таблица26[[#This Row],[Столбец1]]="",Таблица26[[#This Row],[Столбец5]]="",Таблица26[[#This Row],[Столбец5]]="отсутствует"),"",VLOOKUP(A27,'Р 4. Показатели_индикаторы'!$A$9:$J$103,6,FALSE))</f>
        <v/>
      </c>
      <c r="M27" s="6" t="str">
        <f>IF(OR(Таблица26[[#This Row],[Столбец1]]="",Таблица26[[#This Row],[Столбец5]]="",Таблица26[[#This Row],[Столбец5]]="отсутствует"),"",VLOOKUP(A27,'Р 4. Показатели_индикаторы'!$A$9:$J$103,7,FALSE))</f>
        <v/>
      </c>
      <c r="N27" s="6" t="str">
        <f>IF(OR(Таблица26[[#This Row],[Столбец1]]="",Таблица26[[#This Row],[Столбец5]]="",Таблица26[[#This Row],[Столбец5]]="отсутствует"),"",VLOOKUP(A27,'Р 4. Показатели_индикаторы'!$A$9:$J$103,8,FALSE))</f>
        <v/>
      </c>
      <c r="O27" s="10" t="str">
        <f>IF(VLOOKUP(A27,'Р 1. "Общие сведения"'!$I$8:$L$179,4,FALSE)="","",VLOOKUP(A27,'Р 1. "Общие сведения"'!$I$8:$L$179,4,FALSE))</f>
        <v/>
      </c>
    </row>
    <row r="28" spans="1:15" x14ac:dyDescent="0.25">
      <c r="A28" s="48" t="str">
        <f>IF('Р 1. "Общие сведения"'!I28="","",'Р 1. "Общие сведения"'!I28)</f>
        <v xml:space="preserve"> </v>
      </c>
      <c r="B28" s="44" t="str">
        <f>IF('Р 1. "Общие сведения"'!J28="","",'Р 1. "Общие сведения"'!J28)</f>
        <v/>
      </c>
      <c r="C28" s="44" t="str">
        <f>IF('Р 1. "Общие сведения"'!H28="","",'Р 1. "Общие сведения"'!H28)</f>
        <v/>
      </c>
      <c r="D28" s="44" t="str">
        <f>IF('Р 1. "Общие сведения"'!D28="","",'Р 1. "Общие сведения"'!D28)</f>
        <v/>
      </c>
      <c r="E28" s="44" t="str">
        <f>IF('Р 1. "Общие сведения"'!K28="","",'Р 1. "Общие сведения"'!K28)</f>
        <v/>
      </c>
      <c r="F28" s="45" t="str">
        <f>IF(OR(Таблица26[[#This Row],[Столбец1]]="",Таблица26[[#This Row],[Столбец5]]="",),"",VLOOKUP(A28,Таблица9[#All],2,FALSE))</f>
        <v/>
      </c>
      <c r="G28" s="47" t="str">
        <f>IF(OR(Таблица26[[#This Row],[Столбец1]]="",Таблица26[[#This Row],[Столбец5]]=""),"",VLOOKUP(A28,'Р 5. Финансирование'!$A$9:$D$100,3,FALSE))</f>
        <v/>
      </c>
      <c r="H28" s="47" t="str">
        <f>IF(OR(Таблица26[[#This Row],[Столбец1]]="",Таблица26[[#This Row],[Столбец5]]=""),"",VLOOKUP(A28,'Р 5. Финансирование'!$A$9:$D$100,4,FALSE))</f>
        <v/>
      </c>
      <c r="I28" s="6" t="str">
        <f>IF(OR(Таблица26[[#This Row],[Столбец5]]="отсутствует",Таблица26[[#This Row],[Столбец5]]=""),"",VLOOKUP(A28,'Р 4. Показатели_индикаторы'!$A$9:$J$103,3,FALSE))</f>
        <v/>
      </c>
      <c r="J28" s="6" t="str">
        <f>IF(OR(Таблица26[[#This Row],[Столбец5]]="отсутствует",Таблица26[[#This Row],[Столбец5]]=""),"",VLOOKUP(A28,'Р 4. Показатели_индикаторы'!$A$9:$J$103,4,FALSE))</f>
        <v/>
      </c>
      <c r="K28" s="6" t="str">
        <f>IF(OR(Таблица26[[#This Row],[Столбец1]]="",Таблица26[[#This Row],[Столбец5]]="",Таблица26[[#This Row],[Столбец5]]="отсутствует"),"",VLOOKUP(A28,'Р 4. Показатели_индикаторы'!$A$9:$J$103,5,FALSE))</f>
        <v/>
      </c>
      <c r="L28" s="6" t="str">
        <f>IF(OR(Таблица26[[#This Row],[Столбец1]]="",Таблица26[[#This Row],[Столбец5]]="",Таблица26[[#This Row],[Столбец5]]="отсутствует"),"",VLOOKUP(A28,'Р 4. Показатели_индикаторы'!$A$9:$J$103,6,FALSE))</f>
        <v/>
      </c>
      <c r="M28" s="6" t="str">
        <f>IF(OR(Таблица26[[#This Row],[Столбец1]]="",Таблица26[[#This Row],[Столбец5]]="",Таблица26[[#This Row],[Столбец5]]="отсутствует"),"",VLOOKUP(A28,'Р 4. Показатели_индикаторы'!$A$9:$J$103,7,FALSE))</f>
        <v/>
      </c>
      <c r="N28" s="6" t="str">
        <f>IF(OR(Таблица26[[#This Row],[Столбец1]]="",Таблица26[[#This Row],[Столбец5]]="",Таблица26[[#This Row],[Столбец5]]="отсутствует"),"",VLOOKUP(A28,'Р 4. Показатели_индикаторы'!$A$9:$J$103,8,FALSE))</f>
        <v/>
      </c>
      <c r="O28" s="10" t="str">
        <f>IF(VLOOKUP(A28,'Р 1. "Общие сведения"'!$I$8:$L$179,4,FALSE)="","",VLOOKUP(A28,'Р 1. "Общие сведения"'!$I$8:$L$179,4,FALSE))</f>
        <v/>
      </c>
    </row>
    <row r="29" spans="1:15" x14ac:dyDescent="0.25">
      <c r="A29" s="48" t="str">
        <f>IF('Р 1. "Общие сведения"'!I29="","",'Р 1. "Общие сведения"'!I29)</f>
        <v xml:space="preserve"> </v>
      </c>
      <c r="B29" s="44" t="str">
        <f>IF('Р 1. "Общие сведения"'!J29="","",'Р 1. "Общие сведения"'!J29)</f>
        <v/>
      </c>
      <c r="C29" s="44" t="str">
        <f>IF('Р 1. "Общие сведения"'!H29="","",'Р 1. "Общие сведения"'!H29)</f>
        <v/>
      </c>
      <c r="D29" s="44" t="str">
        <f>IF('Р 1. "Общие сведения"'!D29="","",'Р 1. "Общие сведения"'!D29)</f>
        <v/>
      </c>
      <c r="E29" s="44" t="str">
        <f>IF('Р 1. "Общие сведения"'!K29="","",'Р 1. "Общие сведения"'!K29)</f>
        <v/>
      </c>
      <c r="F29" s="45" t="str">
        <f>IF(OR(Таблица26[[#This Row],[Столбец1]]="",Таблица26[[#This Row],[Столбец5]]="",),"",VLOOKUP(A29,Таблица9[#All],2,FALSE))</f>
        <v/>
      </c>
      <c r="G29" s="47" t="str">
        <f>IF(OR(Таблица26[[#This Row],[Столбец1]]="",Таблица26[[#This Row],[Столбец5]]=""),"",VLOOKUP(A29,'Р 5. Финансирование'!$A$9:$D$100,3,FALSE))</f>
        <v/>
      </c>
      <c r="H29" s="47" t="str">
        <f>IF(OR(Таблица26[[#This Row],[Столбец1]]="",Таблица26[[#This Row],[Столбец5]]=""),"",VLOOKUP(A29,'Р 5. Финансирование'!$A$9:$D$100,4,FALSE))</f>
        <v/>
      </c>
      <c r="I29" s="6" t="str">
        <f>IF(OR(Таблица26[[#This Row],[Столбец5]]="отсутствует",Таблица26[[#This Row],[Столбец5]]=""),"",VLOOKUP(A29,'Р 4. Показатели_индикаторы'!$A$9:$J$103,3,FALSE))</f>
        <v/>
      </c>
      <c r="J29" s="6" t="str">
        <f>IF(OR(Таблица26[[#This Row],[Столбец5]]="отсутствует",Таблица26[[#This Row],[Столбец5]]=""),"",VLOOKUP(A29,'Р 4. Показатели_индикаторы'!$A$9:$J$103,4,FALSE))</f>
        <v/>
      </c>
      <c r="K29" s="6" t="str">
        <f>IF(OR(Таблица26[[#This Row],[Столбец1]]="",Таблица26[[#This Row],[Столбец5]]="",Таблица26[[#This Row],[Столбец5]]="отсутствует"),"",VLOOKUP(A29,'Р 4. Показатели_индикаторы'!$A$9:$J$103,5,FALSE))</f>
        <v/>
      </c>
      <c r="L29" s="6" t="str">
        <f>IF(OR(Таблица26[[#This Row],[Столбец1]]="",Таблица26[[#This Row],[Столбец5]]="",Таблица26[[#This Row],[Столбец5]]="отсутствует"),"",VLOOKUP(A29,'Р 4. Показатели_индикаторы'!$A$9:$J$103,6,FALSE))</f>
        <v/>
      </c>
      <c r="M29" s="6" t="str">
        <f>IF(OR(Таблица26[[#This Row],[Столбец1]]="",Таблица26[[#This Row],[Столбец5]]="",Таблица26[[#This Row],[Столбец5]]="отсутствует"),"",VLOOKUP(A29,'Р 4. Показатели_индикаторы'!$A$9:$J$103,7,FALSE))</f>
        <v/>
      </c>
      <c r="N29" s="6" t="str">
        <f>IF(OR(Таблица26[[#This Row],[Столбец1]]="",Таблица26[[#This Row],[Столбец5]]="",Таблица26[[#This Row],[Столбец5]]="отсутствует"),"",VLOOKUP(A29,'Р 4. Показатели_индикаторы'!$A$9:$J$103,8,FALSE))</f>
        <v/>
      </c>
      <c r="O29" s="10" t="str">
        <f>IF(VLOOKUP(A29,'Р 1. "Общие сведения"'!$I$8:$L$179,4,FALSE)="","",VLOOKUP(A29,'Р 1. "Общие сведения"'!$I$8:$L$179,4,FALSE))</f>
        <v/>
      </c>
    </row>
    <row r="30" spans="1:15" x14ac:dyDescent="0.25">
      <c r="A30" s="48" t="str">
        <f>IF('Р 1. "Общие сведения"'!I30="","",'Р 1. "Общие сведения"'!I30)</f>
        <v xml:space="preserve"> </v>
      </c>
      <c r="B30" s="44" t="str">
        <f>IF('Р 1. "Общие сведения"'!J30="","",'Р 1. "Общие сведения"'!J30)</f>
        <v/>
      </c>
      <c r="C30" s="44" t="str">
        <f>IF('Р 1. "Общие сведения"'!H30="","",'Р 1. "Общие сведения"'!H30)</f>
        <v/>
      </c>
      <c r="D30" s="44" t="str">
        <f>IF('Р 1. "Общие сведения"'!D30="","",'Р 1. "Общие сведения"'!D30)</f>
        <v/>
      </c>
      <c r="E30" s="44" t="str">
        <f>IF('Р 1. "Общие сведения"'!K30="","",'Р 1. "Общие сведения"'!K30)</f>
        <v/>
      </c>
      <c r="F30" s="45" t="str">
        <f>IF(OR(Таблица26[[#This Row],[Столбец1]]="",Таблица26[[#This Row],[Столбец5]]="",),"",VLOOKUP(A30,Таблица9[#All],2,FALSE))</f>
        <v/>
      </c>
      <c r="G30" s="47" t="str">
        <f>IF(OR(Таблица26[[#This Row],[Столбец1]]="",Таблица26[[#This Row],[Столбец5]]=""),"",VLOOKUP(A30,'Р 5. Финансирование'!$A$9:$D$100,3,FALSE))</f>
        <v/>
      </c>
      <c r="H30" s="47" t="str">
        <f>IF(OR(Таблица26[[#This Row],[Столбец1]]="",Таблица26[[#This Row],[Столбец5]]=""),"",VLOOKUP(A30,'Р 5. Финансирование'!$A$9:$D$100,4,FALSE))</f>
        <v/>
      </c>
      <c r="I30" s="6" t="str">
        <f>IF(OR(Таблица26[[#This Row],[Столбец5]]="отсутствует",Таблица26[[#This Row],[Столбец5]]=""),"",VLOOKUP(A30,'Р 4. Показатели_индикаторы'!$A$9:$J$103,3,FALSE))</f>
        <v/>
      </c>
      <c r="J30" s="6" t="str">
        <f>IF(OR(Таблица26[[#This Row],[Столбец5]]="отсутствует",Таблица26[[#This Row],[Столбец5]]=""),"",VLOOKUP(A30,'Р 4. Показатели_индикаторы'!$A$9:$J$103,4,FALSE))</f>
        <v/>
      </c>
      <c r="K30" s="6" t="str">
        <f>IF(OR(Таблица26[[#This Row],[Столбец1]]="",Таблица26[[#This Row],[Столбец5]]="",Таблица26[[#This Row],[Столбец5]]="отсутствует"),"",VLOOKUP(A30,'Р 4. Показатели_индикаторы'!$A$9:$J$103,5,FALSE))</f>
        <v/>
      </c>
      <c r="L30" s="6" t="str">
        <f>IF(OR(Таблица26[[#This Row],[Столбец1]]="",Таблица26[[#This Row],[Столбец5]]="",Таблица26[[#This Row],[Столбец5]]="отсутствует"),"",VLOOKUP(A30,'Р 4. Показатели_индикаторы'!$A$9:$J$103,6,FALSE))</f>
        <v/>
      </c>
      <c r="M30" s="6" t="str">
        <f>IF(OR(Таблица26[[#This Row],[Столбец1]]="",Таблица26[[#This Row],[Столбец5]]="",Таблица26[[#This Row],[Столбец5]]="отсутствует"),"",VLOOKUP(A30,'Р 4. Показатели_индикаторы'!$A$9:$J$103,7,FALSE))</f>
        <v/>
      </c>
      <c r="N30" s="6" t="str">
        <f>IF(OR(Таблица26[[#This Row],[Столбец1]]="",Таблица26[[#This Row],[Столбец5]]="",Таблица26[[#This Row],[Столбец5]]="отсутствует"),"",VLOOKUP(A30,'Р 4. Показатели_индикаторы'!$A$9:$J$103,8,FALSE))</f>
        <v/>
      </c>
      <c r="O30" s="10" t="str">
        <f>IF(VLOOKUP(A30,'Р 1. "Общие сведения"'!$I$8:$L$179,4,FALSE)="","",VLOOKUP(A30,'Р 1. "Общие сведения"'!$I$8:$L$179,4,FALSE))</f>
        <v/>
      </c>
    </row>
    <row r="31" spans="1:15" x14ac:dyDescent="0.25">
      <c r="A31" s="48" t="str">
        <f>IF('Р 1. "Общие сведения"'!I31="","",'Р 1. "Общие сведения"'!I31)</f>
        <v xml:space="preserve"> </v>
      </c>
      <c r="B31" s="44" t="str">
        <f>IF('Р 1. "Общие сведения"'!J31="","",'Р 1. "Общие сведения"'!J31)</f>
        <v/>
      </c>
      <c r="C31" s="44" t="str">
        <f>IF('Р 1. "Общие сведения"'!H31="","",'Р 1. "Общие сведения"'!H31)</f>
        <v/>
      </c>
      <c r="D31" s="44" t="str">
        <f>IF('Р 1. "Общие сведения"'!D31="","",'Р 1. "Общие сведения"'!D31)</f>
        <v/>
      </c>
      <c r="E31" s="44" t="str">
        <f>IF('Р 1. "Общие сведения"'!K31="","",'Р 1. "Общие сведения"'!K31)</f>
        <v/>
      </c>
      <c r="F31" s="45" t="str">
        <f>IF(OR(Таблица26[[#This Row],[Столбец1]]="",Таблица26[[#This Row],[Столбец5]]="",),"",VLOOKUP(A31,Таблица9[#All],2,FALSE))</f>
        <v/>
      </c>
      <c r="G31" s="47" t="str">
        <f>IF(OR(Таблица26[[#This Row],[Столбец1]]="",Таблица26[[#This Row],[Столбец5]]=""),"",VLOOKUP(A31,'Р 5. Финансирование'!$A$9:$D$100,3,FALSE))</f>
        <v/>
      </c>
      <c r="H31" s="47" t="str">
        <f>IF(OR(Таблица26[[#This Row],[Столбец1]]="",Таблица26[[#This Row],[Столбец5]]=""),"",VLOOKUP(A31,'Р 5. Финансирование'!$A$9:$D$100,4,FALSE))</f>
        <v/>
      </c>
      <c r="I31" s="6" t="str">
        <f>IF(OR(Таблица26[[#This Row],[Столбец5]]="отсутствует",Таблица26[[#This Row],[Столбец5]]=""),"",VLOOKUP(A31,'Р 4. Показатели_индикаторы'!$A$9:$J$103,3,FALSE))</f>
        <v/>
      </c>
      <c r="J31" s="6" t="str">
        <f>IF(OR(Таблица26[[#This Row],[Столбец5]]="отсутствует",Таблица26[[#This Row],[Столбец5]]=""),"",VLOOKUP(A31,'Р 4. Показатели_индикаторы'!$A$9:$J$103,4,FALSE))</f>
        <v/>
      </c>
      <c r="K31" s="6" t="str">
        <f>IF(OR(Таблица26[[#This Row],[Столбец1]]="",Таблица26[[#This Row],[Столбец5]]="",Таблица26[[#This Row],[Столбец5]]="отсутствует"),"",VLOOKUP(A31,'Р 4. Показатели_индикаторы'!$A$9:$J$103,5,FALSE))</f>
        <v/>
      </c>
      <c r="L31" s="6" t="str">
        <f>IF(OR(Таблица26[[#This Row],[Столбец1]]="",Таблица26[[#This Row],[Столбец5]]="",Таблица26[[#This Row],[Столбец5]]="отсутствует"),"",VLOOKUP(A31,'Р 4. Показатели_индикаторы'!$A$9:$J$103,6,FALSE))</f>
        <v/>
      </c>
      <c r="M31" s="6" t="str">
        <f>IF(OR(Таблица26[[#This Row],[Столбец1]]="",Таблица26[[#This Row],[Столбец5]]="",Таблица26[[#This Row],[Столбец5]]="отсутствует"),"",VLOOKUP(A31,'Р 4. Показатели_индикаторы'!$A$9:$J$103,7,FALSE))</f>
        <v/>
      </c>
      <c r="N31" s="6" t="str">
        <f>IF(OR(Таблица26[[#This Row],[Столбец1]]="",Таблица26[[#This Row],[Столбец5]]="",Таблица26[[#This Row],[Столбец5]]="отсутствует"),"",VLOOKUP(A31,'Р 4. Показатели_индикаторы'!$A$9:$J$103,8,FALSE))</f>
        <v/>
      </c>
      <c r="O31" s="10" t="str">
        <f>IF(VLOOKUP(A31,'Р 1. "Общие сведения"'!$I$8:$L$179,4,FALSE)="","",VLOOKUP(A31,'Р 1. "Общие сведения"'!$I$8:$L$179,4,FALSE))</f>
        <v/>
      </c>
    </row>
    <row r="32" spans="1:15" x14ac:dyDescent="0.25">
      <c r="A32" s="48" t="str">
        <f>IF('Р 1. "Общие сведения"'!I32="","",'Р 1. "Общие сведения"'!I32)</f>
        <v xml:space="preserve"> </v>
      </c>
      <c r="B32" s="44" t="str">
        <f>IF('Р 1. "Общие сведения"'!J32="","",'Р 1. "Общие сведения"'!J32)</f>
        <v/>
      </c>
      <c r="C32" s="44" t="str">
        <f>IF('Р 1. "Общие сведения"'!H32="","",'Р 1. "Общие сведения"'!H32)</f>
        <v/>
      </c>
      <c r="D32" s="44" t="str">
        <f>IF('Р 1. "Общие сведения"'!D32="","",'Р 1. "Общие сведения"'!D32)</f>
        <v/>
      </c>
      <c r="E32" s="44" t="str">
        <f>IF('Р 1. "Общие сведения"'!K32="","",'Р 1. "Общие сведения"'!K32)</f>
        <v/>
      </c>
      <c r="F32" s="45" t="str">
        <f>IF(OR(Таблица26[[#This Row],[Столбец1]]="",Таблица26[[#This Row],[Столбец5]]="",),"",VLOOKUP(A32,Таблица9[#All],2,FALSE))</f>
        <v/>
      </c>
      <c r="G32" s="47" t="str">
        <f>IF(OR(Таблица26[[#This Row],[Столбец1]]="",Таблица26[[#This Row],[Столбец5]]=""),"",VLOOKUP(A32,'Р 5. Финансирование'!$A$9:$D$100,3,FALSE))</f>
        <v/>
      </c>
      <c r="H32" s="47" t="str">
        <f>IF(OR(Таблица26[[#This Row],[Столбец1]]="",Таблица26[[#This Row],[Столбец5]]=""),"",VLOOKUP(A32,'Р 5. Финансирование'!$A$9:$D$100,4,FALSE))</f>
        <v/>
      </c>
      <c r="I32" s="6" t="str">
        <f>IF(OR(Таблица26[[#This Row],[Столбец5]]="отсутствует",Таблица26[[#This Row],[Столбец5]]=""),"",VLOOKUP(A32,'Р 4. Показатели_индикаторы'!$A$9:$J$103,3,FALSE))</f>
        <v/>
      </c>
      <c r="J32" s="6" t="str">
        <f>IF(OR(Таблица26[[#This Row],[Столбец5]]="отсутствует",Таблица26[[#This Row],[Столбец5]]=""),"",VLOOKUP(A32,'Р 4. Показатели_индикаторы'!$A$9:$J$103,4,FALSE))</f>
        <v/>
      </c>
      <c r="K32" s="6" t="str">
        <f>IF(OR(Таблица26[[#This Row],[Столбец1]]="",Таблица26[[#This Row],[Столбец5]]="",Таблица26[[#This Row],[Столбец5]]="отсутствует"),"",VLOOKUP(A32,'Р 4. Показатели_индикаторы'!$A$9:$J$103,5,FALSE))</f>
        <v/>
      </c>
      <c r="L32" s="6" t="str">
        <f>IF(OR(Таблица26[[#This Row],[Столбец1]]="",Таблица26[[#This Row],[Столбец5]]="",Таблица26[[#This Row],[Столбец5]]="отсутствует"),"",VLOOKUP(A32,'Р 4. Показатели_индикаторы'!$A$9:$J$103,6,FALSE))</f>
        <v/>
      </c>
      <c r="M32" s="6" t="str">
        <f>IF(OR(Таблица26[[#This Row],[Столбец1]]="",Таблица26[[#This Row],[Столбец5]]="",Таблица26[[#This Row],[Столбец5]]="отсутствует"),"",VLOOKUP(A32,'Р 4. Показатели_индикаторы'!$A$9:$J$103,7,FALSE))</f>
        <v/>
      </c>
      <c r="N32" s="6" t="str">
        <f>IF(OR(Таблица26[[#This Row],[Столбец1]]="",Таблица26[[#This Row],[Столбец5]]="",Таблица26[[#This Row],[Столбец5]]="отсутствует"),"",VLOOKUP(A32,'Р 4. Показатели_индикаторы'!$A$9:$J$103,8,FALSE))</f>
        <v/>
      </c>
      <c r="O32" s="10" t="str">
        <f>IF(VLOOKUP(A32,'Р 1. "Общие сведения"'!$I$8:$L$179,4,FALSE)="","",VLOOKUP(A32,'Р 1. "Общие сведения"'!$I$8:$L$179,4,FALSE))</f>
        <v/>
      </c>
    </row>
    <row r="33" spans="1:15" x14ac:dyDescent="0.25">
      <c r="A33" s="48" t="str">
        <f>IF('Р 1. "Общие сведения"'!I33="","",'Р 1. "Общие сведения"'!I33)</f>
        <v xml:space="preserve"> </v>
      </c>
      <c r="B33" s="44" t="str">
        <f>IF('Р 1. "Общие сведения"'!J33="","",'Р 1. "Общие сведения"'!J33)</f>
        <v/>
      </c>
      <c r="C33" s="44" t="str">
        <f>IF('Р 1. "Общие сведения"'!H33="","",'Р 1. "Общие сведения"'!H33)</f>
        <v/>
      </c>
      <c r="D33" s="44" t="str">
        <f>IF('Р 1. "Общие сведения"'!D33="","",'Р 1. "Общие сведения"'!D33)</f>
        <v/>
      </c>
      <c r="E33" s="44" t="str">
        <f>IF('Р 1. "Общие сведения"'!K33="","",'Р 1. "Общие сведения"'!K33)</f>
        <v/>
      </c>
      <c r="F33" s="45" t="str">
        <f>IF(OR(Таблица26[[#This Row],[Столбец1]]="",Таблица26[[#This Row],[Столбец5]]="",),"",VLOOKUP(A33,Таблица9[#All],2,FALSE))</f>
        <v/>
      </c>
      <c r="G33" s="47" t="str">
        <f>IF(OR(Таблица26[[#This Row],[Столбец1]]="",Таблица26[[#This Row],[Столбец5]]=""),"",VLOOKUP(A33,'Р 5. Финансирование'!$A$9:$D$100,3,FALSE))</f>
        <v/>
      </c>
      <c r="H33" s="47" t="str">
        <f>IF(OR(Таблица26[[#This Row],[Столбец1]]="",Таблица26[[#This Row],[Столбец5]]=""),"",VLOOKUP(A33,'Р 5. Финансирование'!$A$9:$D$100,4,FALSE))</f>
        <v/>
      </c>
      <c r="I33" s="6" t="str">
        <f>IF(OR(Таблица26[[#This Row],[Столбец5]]="отсутствует",Таблица26[[#This Row],[Столбец5]]=""),"",VLOOKUP(A33,'Р 4. Показатели_индикаторы'!$A$9:$J$103,3,FALSE))</f>
        <v/>
      </c>
      <c r="J33" s="6" t="str">
        <f>IF(OR(Таблица26[[#This Row],[Столбец5]]="отсутствует",Таблица26[[#This Row],[Столбец5]]=""),"",VLOOKUP(A33,'Р 4. Показатели_индикаторы'!$A$9:$J$103,4,FALSE))</f>
        <v/>
      </c>
      <c r="K33" s="6" t="str">
        <f>IF(OR(Таблица26[[#This Row],[Столбец1]]="",Таблица26[[#This Row],[Столбец5]]="",Таблица26[[#This Row],[Столбец5]]="отсутствует"),"",VLOOKUP(A33,'Р 4. Показатели_индикаторы'!$A$9:$J$103,5,FALSE))</f>
        <v/>
      </c>
      <c r="L33" s="6" t="str">
        <f>IF(OR(Таблица26[[#This Row],[Столбец1]]="",Таблица26[[#This Row],[Столбец5]]="",Таблица26[[#This Row],[Столбец5]]="отсутствует"),"",VLOOKUP(A33,'Р 4. Показатели_индикаторы'!$A$9:$J$103,6,FALSE))</f>
        <v/>
      </c>
      <c r="M33" s="6" t="str">
        <f>IF(OR(Таблица26[[#This Row],[Столбец1]]="",Таблица26[[#This Row],[Столбец5]]="",Таблица26[[#This Row],[Столбец5]]="отсутствует"),"",VLOOKUP(A33,'Р 4. Показатели_индикаторы'!$A$9:$J$103,7,FALSE))</f>
        <v/>
      </c>
      <c r="N33" s="6" t="str">
        <f>IF(OR(Таблица26[[#This Row],[Столбец1]]="",Таблица26[[#This Row],[Столбец5]]="",Таблица26[[#This Row],[Столбец5]]="отсутствует"),"",VLOOKUP(A33,'Р 4. Показатели_индикаторы'!$A$9:$J$103,8,FALSE))</f>
        <v/>
      </c>
      <c r="O33" s="10" t="str">
        <f>IF(VLOOKUP(A33,'Р 1. "Общие сведения"'!$I$8:$L$179,4,FALSE)="","",VLOOKUP(A33,'Р 1. "Общие сведения"'!$I$8:$L$179,4,FALSE))</f>
        <v/>
      </c>
    </row>
    <row r="34" spans="1:15" x14ac:dyDescent="0.25">
      <c r="A34" s="48" t="str">
        <f>IF('Р 1. "Общие сведения"'!I34="","",'Р 1. "Общие сведения"'!I34)</f>
        <v xml:space="preserve"> </v>
      </c>
      <c r="B34" s="44" t="str">
        <f>IF('Р 1. "Общие сведения"'!J34="","",'Р 1. "Общие сведения"'!J34)</f>
        <v/>
      </c>
      <c r="C34" s="44" t="str">
        <f>IF('Р 1. "Общие сведения"'!H34="","",'Р 1. "Общие сведения"'!H34)</f>
        <v/>
      </c>
      <c r="D34" s="44" t="str">
        <f>IF('Р 1. "Общие сведения"'!D34="","",'Р 1. "Общие сведения"'!D34)</f>
        <v/>
      </c>
      <c r="E34" s="44" t="str">
        <f>IF('Р 1. "Общие сведения"'!K34="","",'Р 1. "Общие сведения"'!K34)</f>
        <v/>
      </c>
      <c r="F34" s="45" t="str">
        <f>IF(OR(Таблица26[[#This Row],[Столбец1]]="",Таблица26[[#This Row],[Столбец5]]="",),"",VLOOKUP(A34,Таблица9[#All],2,FALSE))</f>
        <v/>
      </c>
      <c r="G34" s="47" t="str">
        <f>IF(OR(Таблица26[[#This Row],[Столбец1]]="",Таблица26[[#This Row],[Столбец5]]=""),"",VLOOKUP(A34,'Р 5. Финансирование'!$A$9:$D$100,3,FALSE))</f>
        <v/>
      </c>
      <c r="H34" s="47" t="str">
        <f>IF(OR(Таблица26[[#This Row],[Столбец1]]="",Таблица26[[#This Row],[Столбец5]]=""),"",VLOOKUP(A34,'Р 5. Финансирование'!$A$9:$D$100,4,FALSE))</f>
        <v/>
      </c>
      <c r="I34" s="6" t="str">
        <f>IF(OR(Таблица26[[#This Row],[Столбец5]]="отсутствует",Таблица26[[#This Row],[Столбец5]]=""),"",VLOOKUP(A34,'Р 4. Показатели_индикаторы'!$A$9:$J$103,3,FALSE))</f>
        <v/>
      </c>
      <c r="J34" s="6" t="str">
        <f>IF(OR(Таблица26[[#This Row],[Столбец5]]="отсутствует",Таблица26[[#This Row],[Столбец5]]=""),"",VLOOKUP(A34,'Р 4. Показатели_индикаторы'!$A$9:$J$103,4,FALSE))</f>
        <v/>
      </c>
      <c r="K34" s="6" t="str">
        <f>IF(OR(Таблица26[[#This Row],[Столбец1]]="",Таблица26[[#This Row],[Столбец5]]="",Таблица26[[#This Row],[Столбец5]]="отсутствует"),"",VLOOKUP(A34,'Р 4. Показатели_индикаторы'!$A$9:$J$103,5,FALSE))</f>
        <v/>
      </c>
      <c r="L34" s="6" t="str">
        <f>IF(OR(Таблица26[[#This Row],[Столбец1]]="",Таблица26[[#This Row],[Столбец5]]="",Таблица26[[#This Row],[Столбец5]]="отсутствует"),"",VLOOKUP(A34,'Р 4. Показатели_индикаторы'!$A$9:$J$103,6,FALSE))</f>
        <v/>
      </c>
      <c r="M34" s="6" t="str">
        <f>IF(OR(Таблица26[[#This Row],[Столбец1]]="",Таблица26[[#This Row],[Столбец5]]="",Таблица26[[#This Row],[Столбец5]]="отсутствует"),"",VLOOKUP(A34,'Р 4. Показатели_индикаторы'!$A$9:$J$103,7,FALSE))</f>
        <v/>
      </c>
      <c r="N34" s="6" t="str">
        <f>IF(OR(Таблица26[[#This Row],[Столбец1]]="",Таблица26[[#This Row],[Столбец5]]="",Таблица26[[#This Row],[Столбец5]]="отсутствует"),"",VLOOKUP(A34,'Р 4. Показатели_индикаторы'!$A$9:$J$103,8,FALSE))</f>
        <v/>
      </c>
      <c r="O34" s="10" t="str">
        <f>IF(VLOOKUP(A34,'Р 1. "Общие сведения"'!$I$8:$L$179,4,FALSE)="","",VLOOKUP(A34,'Р 1. "Общие сведения"'!$I$8:$L$179,4,FALSE))</f>
        <v/>
      </c>
    </row>
    <row r="35" spans="1:15" x14ac:dyDescent="0.25">
      <c r="A35" s="48" t="str">
        <f>IF('Р 1. "Общие сведения"'!I35="","",'Р 1. "Общие сведения"'!I35)</f>
        <v xml:space="preserve"> </v>
      </c>
      <c r="B35" s="44" t="str">
        <f>IF('Р 1. "Общие сведения"'!J35="","",'Р 1. "Общие сведения"'!J35)</f>
        <v/>
      </c>
      <c r="C35" s="44" t="str">
        <f>IF('Р 1. "Общие сведения"'!H35="","",'Р 1. "Общие сведения"'!H35)</f>
        <v/>
      </c>
      <c r="D35" s="44" t="str">
        <f>IF('Р 1. "Общие сведения"'!D35="","",'Р 1. "Общие сведения"'!D35)</f>
        <v/>
      </c>
      <c r="E35" s="44" t="str">
        <f>IF('Р 1. "Общие сведения"'!K35="","",'Р 1. "Общие сведения"'!K35)</f>
        <v/>
      </c>
      <c r="F35" s="45" t="str">
        <f>IF(OR(Таблица26[[#This Row],[Столбец1]]="",Таблица26[[#This Row],[Столбец5]]="",),"",VLOOKUP(A35,Таблица9[#All],2,FALSE))</f>
        <v/>
      </c>
      <c r="G35" s="47" t="str">
        <f>IF(OR(Таблица26[[#This Row],[Столбец1]]="",Таблица26[[#This Row],[Столбец5]]=""),"",VLOOKUP(A35,'Р 5. Финансирование'!$A$9:$D$100,3,FALSE))</f>
        <v/>
      </c>
      <c r="H35" s="47" t="str">
        <f>IF(OR(Таблица26[[#This Row],[Столбец1]]="",Таблица26[[#This Row],[Столбец5]]=""),"",VLOOKUP(A35,'Р 5. Финансирование'!$A$9:$D$100,4,FALSE))</f>
        <v/>
      </c>
      <c r="I35" s="6" t="str">
        <f>IF(OR(Таблица26[[#This Row],[Столбец5]]="отсутствует",Таблица26[[#This Row],[Столбец5]]=""),"",VLOOKUP(A35,'Р 4. Показатели_индикаторы'!$A$9:$J$103,3,FALSE))</f>
        <v/>
      </c>
      <c r="J35" s="6" t="str">
        <f>IF(OR(Таблица26[[#This Row],[Столбец5]]="отсутствует",Таблица26[[#This Row],[Столбец5]]=""),"",VLOOKUP(A35,'Р 4. Показатели_индикаторы'!$A$9:$J$103,4,FALSE))</f>
        <v/>
      </c>
      <c r="K35" s="6" t="str">
        <f>IF(OR(Таблица26[[#This Row],[Столбец1]]="",Таблица26[[#This Row],[Столбец5]]="",Таблица26[[#This Row],[Столбец5]]="отсутствует"),"",VLOOKUP(A35,'Р 4. Показатели_индикаторы'!$A$9:$J$103,5,FALSE))</f>
        <v/>
      </c>
      <c r="L35" s="6" t="str">
        <f>IF(OR(Таблица26[[#This Row],[Столбец1]]="",Таблица26[[#This Row],[Столбец5]]="",Таблица26[[#This Row],[Столбец5]]="отсутствует"),"",VLOOKUP(A35,'Р 4. Показатели_индикаторы'!$A$9:$J$103,6,FALSE))</f>
        <v/>
      </c>
      <c r="M35" s="6" t="str">
        <f>IF(OR(Таблица26[[#This Row],[Столбец1]]="",Таблица26[[#This Row],[Столбец5]]="",Таблица26[[#This Row],[Столбец5]]="отсутствует"),"",VLOOKUP(A35,'Р 4. Показатели_индикаторы'!$A$9:$J$103,7,FALSE))</f>
        <v/>
      </c>
      <c r="N35" s="6" t="str">
        <f>IF(OR(Таблица26[[#This Row],[Столбец1]]="",Таблица26[[#This Row],[Столбец5]]="",Таблица26[[#This Row],[Столбец5]]="отсутствует"),"",VLOOKUP(A35,'Р 4. Показатели_индикаторы'!$A$9:$J$103,8,FALSE))</f>
        <v/>
      </c>
      <c r="O35" s="10" t="str">
        <f>IF(VLOOKUP(A35,'Р 1. "Общие сведения"'!$I$8:$L$179,4,FALSE)="","",VLOOKUP(A35,'Р 1. "Общие сведения"'!$I$8:$L$179,4,FALSE))</f>
        <v/>
      </c>
    </row>
    <row r="36" spans="1:15" x14ac:dyDescent="0.25">
      <c r="A36" s="48" t="str">
        <f>IF('Р 1. "Общие сведения"'!I36="","",'Р 1. "Общие сведения"'!I36)</f>
        <v xml:space="preserve"> </v>
      </c>
      <c r="B36" s="44" t="str">
        <f>IF('Р 1. "Общие сведения"'!J36="","",'Р 1. "Общие сведения"'!J36)</f>
        <v/>
      </c>
      <c r="C36" s="44" t="str">
        <f>IF('Р 1. "Общие сведения"'!H36="","",'Р 1. "Общие сведения"'!H36)</f>
        <v/>
      </c>
      <c r="D36" s="44" t="str">
        <f>IF('Р 1. "Общие сведения"'!D36="","",'Р 1. "Общие сведения"'!D36)</f>
        <v/>
      </c>
      <c r="E36" s="44" t="str">
        <f>IF('Р 1. "Общие сведения"'!K36="","",'Р 1. "Общие сведения"'!K36)</f>
        <v/>
      </c>
      <c r="F36" s="45" t="str">
        <f>IF(OR(Таблица26[[#This Row],[Столбец1]]="",Таблица26[[#This Row],[Столбец5]]="",),"",VLOOKUP(A36,Таблица9[#All],2,FALSE))</f>
        <v/>
      </c>
      <c r="G36" s="47" t="str">
        <f>IF(OR(Таблица26[[#This Row],[Столбец1]]="",Таблица26[[#This Row],[Столбец5]]=""),"",VLOOKUP(A36,'Р 5. Финансирование'!$A$9:$D$100,3,FALSE))</f>
        <v/>
      </c>
      <c r="H36" s="47" t="str">
        <f>IF(OR(Таблица26[[#This Row],[Столбец1]]="",Таблица26[[#This Row],[Столбец5]]=""),"",VLOOKUP(A36,'Р 5. Финансирование'!$A$9:$D$100,4,FALSE))</f>
        <v/>
      </c>
      <c r="I36" s="6" t="str">
        <f>IF(OR(Таблица26[[#This Row],[Столбец5]]="отсутствует",Таблица26[[#This Row],[Столбец5]]=""),"",VLOOKUP(A36,'Р 4. Показатели_индикаторы'!$A$9:$J$103,3,FALSE))</f>
        <v/>
      </c>
      <c r="J36" s="6" t="str">
        <f>IF(OR(Таблица26[[#This Row],[Столбец5]]="отсутствует",Таблица26[[#This Row],[Столбец5]]=""),"",VLOOKUP(A36,'Р 4. Показатели_индикаторы'!$A$9:$J$103,4,FALSE))</f>
        <v/>
      </c>
      <c r="K36" s="6" t="str">
        <f>IF(OR(Таблица26[[#This Row],[Столбец1]]="",Таблица26[[#This Row],[Столбец5]]="",Таблица26[[#This Row],[Столбец5]]="отсутствует"),"",VLOOKUP(A36,'Р 4. Показатели_индикаторы'!$A$9:$J$103,5,FALSE))</f>
        <v/>
      </c>
      <c r="L36" s="6" t="str">
        <f>IF(OR(Таблица26[[#This Row],[Столбец1]]="",Таблица26[[#This Row],[Столбец5]]="",Таблица26[[#This Row],[Столбец5]]="отсутствует"),"",VLOOKUP(A36,'Р 4. Показатели_индикаторы'!$A$9:$J$103,6,FALSE))</f>
        <v/>
      </c>
      <c r="M36" s="6" t="str">
        <f>IF(OR(Таблица26[[#This Row],[Столбец1]]="",Таблица26[[#This Row],[Столбец5]]="",Таблица26[[#This Row],[Столбец5]]="отсутствует"),"",VLOOKUP(A36,'Р 4. Показатели_индикаторы'!$A$9:$J$103,7,FALSE))</f>
        <v/>
      </c>
      <c r="N36" s="6" t="str">
        <f>IF(OR(Таблица26[[#This Row],[Столбец1]]="",Таблица26[[#This Row],[Столбец5]]="",Таблица26[[#This Row],[Столбец5]]="отсутствует"),"",VLOOKUP(A36,'Р 4. Показатели_индикаторы'!$A$9:$J$103,8,FALSE))</f>
        <v/>
      </c>
      <c r="O36" s="10" t="str">
        <f>IF(VLOOKUP(A36,'Р 1. "Общие сведения"'!$I$8:$L$179,4,FALSE)="","",VLOOKUP(A36,'Р 1. "Общие сведения"'!$I$8:$L$179,4,FALSE))</f>
        <v/>
      </c>
    </row>
    <row r="37" spans="1:15" x14ac:dyDescent="0.25">
      <c r="A37" s="48" t="str">
        <f>IF('Р 1. "Общие сведения"'!I37="","",'Р 1. "Общие сведения"'!I37)</f>
        <v xml:space="preserve"> </v>
      </c>
      <c r="B37" s="44" t="str">
        <f>IF('Р 1. "Общие сведения"'!J37="","",'Р 1. "Общие сведения"'!J37)</f>
        <v/>
      </c>
      <c r="C37" s="44" t="str">
        <f>IF('Р 1. "Общие сведения"'!H37="","",'Р 1. "Общие сведения"'!H37)</f>
        <v/>
      </c>
      <c r="D37" s="44" t="str">
        <f>IF('Р 1. "Общие сведения"'!D37="","",'Р 1. "Общие сведения"'!D37)</f>
        <v/>
      </c>
      <c r="E37" s="44" t="str">
        <f>IF('Р 1. "Общие сведения"'!K37="","",'Р 1. "Общие сведения"'!K37)</f>
        <v/>
      </c>
      <c r="F37" s="45" t="str">
        <f>IF(OR(Таблица26[[#This Row],[Столбец1]]="",Таблица26[[#This Row],[Столбец5]]="",),"",VLOOKUP(A37,Таблица9[#All],2,FALSE))</f>
        <v/>
      </c>
      <c r="G37" s="47" t="str">
        <f>IF(OR(Таблица26[[#This Row],[Столбец1]]="",Таблица26[[#This Row],[Столбец5]]=""),"",VLOOKUP(A37,'Р 5. Финансирование'!$A$9:$D$100,3,FALSE))</f>
        <v/>
      </c>
      <c r="H37" s="47" t="str">
        <f>IF(OR(Таблица26[[#This Row],[Столбец1]]="",Таблица26[[#This Row],[Столбец5]]=""),"",VLOOKUP(A37,'Р 5. Финансирование'!$A$9:$D$100,4,FALSE))</f>
        <v/>
      </c>
      <c r="I37" s="6" t="str">
        <f>IF(OR(Таблица26[[#This Row],[Столбец5]]="отсутствует",Таблица26[[#This Row],[Столбец5]]=""),"",VLOOKUP(A37,'Р 4. Показатели_индикаторы'!$A$9:$J$103,3,FALSE))</f>
        <v/>
      </c>
      <c r="J37" s="6" t="str">
        <f>IF(OR(Таблица26[[#This Row],[Столбец5]]="отсутствует",Таблица26[[#This Row],[Столбец5]]=""),"",VLOOKUP(A37,'Р 4. Показатели_индикаторы'!$A$9:$J$103,4,FALSE))</f>
        <v/>
      </c>
      <c r="K37" s="6" t="str">
        <f>IF(OR(Таблица26[[#This Row],[Столбец1]]="",Таблица26[[#This Row],[Столбец5]]="",Таблица26[[#This Row],[Столбец5]]="отсутствует"),"",VLOOKUP(A37,'Р 4. Показатели_индикаторы'!$A$9:$J$103,5,FALSE))</f>
        <v/>
      </c>
      <c r="L37" s="6" t="str">
        <f>IF(OR(Таблица26[[#This Row],[Столбец1]]="",Таблица26[[#This Row],[Столбец5]]="",Таблица26[[#This Row],[Столбец5]]="отсутствует"),"",VLOOKUP(A37,'Р 4. Показатели_индикаторы'!$A$9:$J$103,6,FALSE))</f>
        <v/>
      </c>
      <c r="M37" s="6" t="str">
        <f>IF(OR(Таблица26[[#This Row],[Столбец1]]="",Таблица26[[#This Row],[Столбец5]]="",Таблица26[[#This Row],[Столбец5]]="отсутствует"),"",VLOOKUP(A37,'Р 4. Показатели_индикаторы'!$A$9:$J$103,7,FALSE))</f>
        <v/>
      </c>
      <c r="N37" s="6" t="str">
        <f>IF(OR(Таблица26[[#This Row],[Столбец1]]="",Таблица26[[#This Row],[Столбец5]]="",Таблица26[[#This Row],[Столбец5]]="отсутствует"),"",VLOOKUP(A37,'Р 4. Показатели_индикаторы'!$A$9:$J$103,8,FALSE))</f>
        <v/>
      </c>
      <c r="O37" s="10" t="str">
        <f>IF(VLOOKUP(A37,'Р 1. "Общие сведения"'!$I$8:$L$179,4,FALSE)="","",VLOOKUP(A37,'Р 1. "Общие сведения"'!$I$8:$L$179,4,FALSE))</f>
        <v/>
      </c>
    </row>
    <row r="38" spans="1:15" x14ac:dyDescent="0.25">
      <c r="A38" s="48" t="str">
        <f>IF('Р 1. "Общие сведения"'!I38="","",'Р 1. "Общие сведения"'!I38)</f>
        <v xml:space="preserve"> </v>
      </c>
      <c r="B38" s="44" t="str">
        <f>IF('Р 1. "Общие сведения"'!J38="","",'Р 1. "Общие сведения"'!J38)</f>
        <v/>
      </c>
      <c r="C38" s="44" t="str">
        <f>IF('Р 1. "Общие сведения"'!H38="","",'Р 1. "Общие сведения"'!H38)</f>
        <v/>
      </c>
      <c r="D38" s="44" t="str">
        <f>IF('Р 1. "Общие сведения"'!D38="","",'Р 1. "Общие сведения"'!D38)</f>
        <v/>
      </c>
      <c r="E38" s="44" t="str">
        <f>IF('Р 1. "Общие сведения"'!K38="","",'Р 1. "Общие сведения"'!K38)</f>
        <v/>
      </c>
      <c r="F38" s="45" t="str">
        <f>IF(OR(Таблица26[[#This Row],[Столбец1]]="",Таблица26[[#This Row],[Столбец5]]="",),"",VLOOKUP(A38,Таблица9[#All],2,FALSE))</f>
        <v/>
      </c>
      <c r="G38" s="47" t="str">
        <f>IF(OR(Таблица26[[#This Row],[Столбец1]]="",Таблица26[[#This Row],[Столбец5]]=""),"",VLOOKUP(A38,'Р 5. Финансирование'!$A$9:$D$100,3,FALSE))</f>
        <v/>
      </c>
      <c r="H38" s="47" t="str">
        <f>IF(OR(Таблица26[[#This Row],[Столбец1]]="",Таблица26[[#This Row],[Столбец5]]=""),"",VLOOKUP(A38,'Р 5. Финансирование'!$A$9:$D$100,4,FALSE))</f>
        <v/>
      </c>
      <c r="I38" s="6" t="str">
        <f>IF(OR(Таблица26[[#This Row],[Столбец5]]="отсутствует",Таблица26[[#This Row],[Столбец5]]=""),"",VLOOKUP(A38,'Р 4. Показатели_индикаторы'!$A$9:$J$103,3,FALSE))</f>
        <v/>
      </c>
      <c r="J38" s="6" t="str">
        <f>IF(OR(Таблица26[[#This Row],[Столбец5]]="отсутствует",Таблица26[[#This Row],[Столбец5]]=""),"",VLOOKUP(A38,'Р 4. Показатели_индикаторы'!$A$9:$J$103,4,FALSE))</f>
        <v/>
      </c>
      <c r="K38" s="6" t="str">
        <f>IF(OR(Таблица26[[#This Row],[Столбец1]]="",Таблица26[[#This Row],[Столбец5]]="",Таблица26[[#This Row],[Столбец5]]="отсутствует"),"",VLOOKUP(A38,'Р 4. Показатели_индикаторы'!$A$9:$J$103,5,FALSE))</f>
        <v/>
      </c>
      <c r="L38" s="6" t="str">
        <f>IF(OR(Таблица26[[#This Row],[Столбец1]]="",Таблица26[[#This Row],[Столбец5]]="",Таблица26[[#This Row],[Столбец5]]="отсутствует"),"",VLOOKUP(A38,'Р 4. Показатели_индикаторы'!$A$9:$J$103,6,FALSE))</f>
        <v/>
      </c>
      <c r="M38" s="6" t="str">
        <f>IF(OR(Таблица26[[#This Row],[Столбец1]]="",Таблица26[[#This Row],[Столбец5]]="",Таблица26[[#This Row],[Столбец5]]="отсутствует"),"",VLOOKUP(A38,'Р 4. Показатели_индикаторы'!$A$9:$J$103,7,FALSE))</f>
        <v/>
      </c>
      <c r="N38" s="6" t="str">
        <f>IF(OR(Таблица26[[#This Row],[Столбец1]]="",Таблица26[[#This Row],[Столбец5]]="",Таблица26[[#This Row],[Столбец5]]="отсутствует"),"",VLOOKUP(A38,'Р 4. Показатели_индикаторы'!$A$9:$J$103,8,FALSE))</f>
        <v/>
      </c>
      <c r="O38" s="10" t="str">
        <f>IF(VLOOKUP(A38,'Р 1. "Общие сведения"'!$I$8:$L$179,4,FALSE)="","",VLOOKUP(A38,'Р 1. "Общие сведения"'!$I$8:$L$179,4,FALSE))</f>
        <v/>
      </c>
    </row>
    <row r="39" spans="1:15" x14ac:dyDescent="0.25">
      <c r="A39" s="48" t="str">
        <f>IF('Р 1. "Общие сведения"'!I39="","",'Р 1. "Общие сведения"'!I39)</f>
        <v xml:space="preserve"> </v>
      </c>
      <c r="B39" s="44" t="str">
        <f>IF('Р 1. "Общие сведения"'!J39="","",'Р 1. "Общие сведения"'!J39)</f>
        <v/>
      </c>
      <c r="C39" s="44" t="str">
        <f>IF('Р 1. "Общие сведения"'!H39="","",'Р 1. "Общие сведения"'!H39)</f>
        <v/>
      </c>
      <c r="D39" s="44" t="str">
        <f>IF('Р 1. "Общие сведения"'!D39="","",'Р 1. "Общие сведения"'!D39)</f>
        <v/>
      </c>
      <c r="E39" s="44" t="str">
        <f>IF('Р 1. "Общие сведения"'!K39="","",'Р 1. "Общие сведения"'!K39)</f>
        <v/>
      </c>
      <c r="F39" s="45" t="str">
        <f>IF(OR(Таблица26[[#This Row],[Столбец1]]="",Таблица26[[#This Row],[Столбец5]]="",),"",VLOOKUP(A39,Таблица9[#All],2,FALSE))</f>
        <v/>
      </c>
      <c r="G39" s="47" t="str">
        <f>IF(OR(Таблица26[[#This Row],[Столбец1]]="",Таблица26[[#This Row],[Столбец5]]=""),"",VLOOKUP(A39,'Р 5. Финансирование'!$A$9:$D$100,3,FALSE))</f>
        <v/>
      </c>
      <c r="H39" s="47" t="str">
        <f>IF(OR(Таблица26[[#This Row],[Столбец1]]="",Таблица26[[#This Row],[Столбец5]]=""),"",VLOOKUP(A39,'Р 5. Финансирование'!$A$9:$D$100,4,FALSE))</f>
        <v/>
      </c>
      <c r="I39" s="6" t="str">
        <f>IF(OR(Таблица26[[#This Row],[Столбец5]]="отсутствует",Таблица26[[#This Row],[Столбец5]]=""),"",VLOOKUP(A39,'Р 4. Показатели_индикаторы'!$A$9:$J$103,3,FALSE))</f>
        <v/>
      </c>
      <c r="J39" s="6" t="str">
        <f>IF(OR(Таблица26[[#This Row],[Столбец5]]="отсутствует",Таблица26[[#This Row],[Столбец5]]=""),"",VLOOKUP(A39,'Р 4. Показатели_индикаторы'!$A$9:$J$103,4,FALSE))</f>
        <v/>
      </c>
      <c r="K39" s="6" t="str">
        <f>IF(OR(Таблица26[[#This Row],[Столбец1]]="",Таблица26[[#This Row],[Столбец5]]="",Таблица26[[#This Row],[Столбец5]]="отсутствует"),"",VLOOKUP(A39,'Р 4. Показатели_индикаторы'!$A$9:$J$103,5,FALSE))</f>
        <v/>
      </c>
      <c r="L39" s="6" t="str">
        <f>IF(OR(Таблица26[[#This Row],[Столбец1]]="",Таблица26[[#This Row],[Столбец5]]="",Таблица26[[#This Row],[Столбец5]]="отсутствует"),"",VLOOKUP(A39,'Р 4. Показатели_индикаторы'!$A$9:$J$103,6,FALSE))</f>
        <v/>
      </c>
      <c r="M39" s="6" t="str">
        <f>IF(OR(Таблица26[[#This Row],[Столбец1]]="",Таблица26[[#This Row],[Столбец5]]="",Таблица26[[#This Row],[Столбец5]]="отсутствует"),"",VLOOKUP(A39,'Р 4. Показатели_индикаторы'!$A$9:$J$103,7,FALSE))</f>
        <v/>
      </c>
      <c r="N39" s="6" t="str">
        <f>IF(OR(Таблица26[[#This Row],[Столбец1]]="",Таблица26[[#This Row],[Столбец5]]="",Таблица26[[#This Row],[Столбец5]]="отсутствует"),"",VLOOKUP(A39,'Р 4. Показатели_индикаторы'!$A$9:$J$103,8,FALSE))</f>
        <v/>
      </c>
      <c r="O39" s="10" t="str">
        <f>IF(VLOOKUP(A39,'Р 1. "Общие сведения"'!$I$8:$L$179,4,FALSE)="","",VLOOKUP(A39,'Р 1. "Общие сведения"'!$I$8:$L$179,4,FALSE))</f>
        <v/>
      </c>
    </row>
    <row r="40" spans="1:15" x14ac:dyDescent="0.25">
      <c r="A40" s="48" t="str">
        <f>IF('Р 1. "Общие сведения"'!I40="","",'Р 1. "Общие сведения"'!I40)</f>
        <v xml:space="preserve"> </v>
      </c>
      <c r="B40" s="44" t="str">
        <f>IF('Р 1. "Общие сведения"'!J40="","",'Р 1. "Общие сведения"'!J40)</f>
        <v/>
      </c>
      <c r="C40" s="44" t="str">
        <f>IF('Р 1. "Общие сведения"'!H40="","",'Р 1. "Общие сведения"'!H40)</f>
        <v/>
      </c>
      <c r="D40" s="44" t="str">
        <f>IF('Р 1. "Общие сведения"'!D40="","",'Р 1. "Общие сведения"'!D40)</f>
        <v/>
      </c>
      <c r="E40" s="44" t="str">
        <f>IF('Р 1. "Общие сведения"'!K40="","",'Р 1. "Общие сведения"'!K40)</f>
        <v/>
      </c>
      <c r="F40" s="45" t="str">
        <f>IF(OR(Таблица26[[#This Row],[Столбец1]]="",Таблица26[[#This Row],[Столбец5]]="",),"",VLOOKUP(A40,Таблица9[#All],2,FALSE))</f>
        <v/>
      </c>
      <c r="G40" s="47" t="str">
        <f>IF(OR(Таблица26[[#This Row],[Столбец1]]="",Таблица26[[#This Row],[Столбец5]]=""),"",VLOOKUP(A40,'Р 5. Финансирование'!$A$9:$D$100,3,FALSE))</f>
        <v/>
      </c>
      <c r="H40" s="47" t="str">
        <f>IF(OR(Таблица26[[#This Row],[Столбец1]]="",Таблица26[[#This Row],[Столбец5]]=""),"",VLOOKUP(A40,'Р 5. Финансирование'!$A$9:$D$100,4,FALSE))</f>
        <v/>
      </c>
      <c r="I40" s="6" t="str">
        <f>IF(OR(Таблица26[[#This Row],[Столбец5]]="отсутствует",Таблица26[[#This Row],[Столбец5]]=""),"",VLOOKUP(A40,'Р 4. Показатели_индикаторы'!$A$9:$J$103,3,FALSE))</f>
        <v/>
      </c>
      <c r="J40" s="6" t="str">
        <f>IF(OR(Таблица26[[#This Row],[Столбец5]]="отсутствует",Таблица26[[#This Row],[Столбец5]]=""),"",VLOOKUP(A40,'Р 4. Показатели_индикаторы'!$A$9:$J$103,4,FALSE))</f>
        <v/>
      </c>
      <c r="K40" s="6" t="str">
        <f>IF(OR(Таблица26[[#This Row],[Столбец1]]="",Таблица26[[#This Row],[Столбец5]]="",Таблица26[[#This Row],[Столбец5]]="отсутствует"),"",VLOOKUP(A40,'Р 4. Показатели_индикаторы'!$A$9:$J$103,5,FALSE))</f>
        <v/>
      </c>
      <c r="L40" s="6" t="str">
        <f>IF(OR(Таблица26[[#This Row],[Столбец1]]="",Таблица26[[#This Row],[Столбец5]]="",Таблица26[[#This Row],[Столбец5]]="отсутствует"),"",VLOOKUP(A40,'Р 4. Показатели_индикаторы'!$A$9:$J$103,6,FALSE))</f>
        <v/>
      </c>
      <c r="M40" s="6" t="str">
        <f>IF(OR(Таблица26[[#This Row],[Столбец1]]="",Таблица26[[#This Row],[Столбец5]]="",Таблица26[[#This Row],[Столбец5]]="отсутствует"),"",VLOOKUP(A40,'Р 4. Показатели_индикаторы'!$A$9:$J$103,7,FALSE))</f>
        <v/>
      </c>
      <c r="N40" s="6" t="str">
        <f>IF(OR(Таблица26[[#This Row],[Столбец1]]="",Таблица26[[#This Row],[Столбец5]]="",Таблица26[[#This Row],[Столбец5]]="отсутствует"),"",VLOOKUP(A40,'Р 4. Показатели_индикаторы'!$A$9:$J$103,8,FALSE))</f>
        <v/>
      </c>
      <c r="O40" s="10" t="str">
        <f>IF(VLOOKUP(A40,'Р 1. "Общие сведения"'!$I$8:$L$179,4,FALSE)="","",VLOOKUP(A40,'Р 1. "Общие сведения"'!$I$8:$L$179,4,FALSE))</f>
        <v/>
      </c>
    </row>
    <row r="41" spans="1:15" x14ac:dyDescent="0.25">
      <c r="A41" s="48" t="str">
        <f>IF('Р 1. "Общие сведения"'!I41="","",'Р 1. "Общие сведения"'!I41)</f>
        <v xml:space="preserve"> </v>
      </c>
      <c r="B41" s="44" t="str">
        <f>IF('Р 1. "Общие сведения"'!J41="","",'Р 1. "Общие сведения"'!J41)</f>
        <v/>
      </c>
      <c r="C41" s="44" t="str">
        <f>IF('Р 1. "Общие сведения"'!H41="","",'Р 1. "Общие сведения"'!H41)</f>
        <v/>
      </c>
      <c r="D41" s="44" t="str">
        <f>IF('Р 1. "Общие сведения"'!D41="","",'Р 1. "Общие сведения"'!D41)</f>
        <v/>
      </c>
      <c r="E41" s="44" t="str">
        <f>IF('Р 1. "Общие сведения"'!K41="","",'Р 1. "Общие сведения"'!K41)</f>
        <v/>
      </c>
      <c r="F41" s="45" t="str">
        <f>IF(OR(Таблица26[[#This Row],[Столбец1]]="",Таблица26[[#This Row],[Столбец5]]="",),"",VLOOKUP(A41,Таблица9[#All],2,FALSE))</f>
        <v/>
      </c>
      <c r="G41" s="47" t="str">
        <f>IF(OR(Таблица26[[#This Row],[Столбец1]]="",Таблица26[[#This Row],[Столбец5]]=""),"",VLOOKUP(A41,'Р 5. Финансирование'!$A$9:$D$100,3,FALSE))</f>
        <v/>
      </c>
      <c r="H41" s="47" t="str">
        <f>IF(OR(Таблица26[[#This Row],[Столбец1]]="",Таблица26[[#This Row],[Столбец5]]=""),"",VLOOKUP(A41,'Р 5. Финансирование'!$A$9:$D$100,4,FALSE))</f>
        <v/>
      </c>
      <c r="I41" s="6" t="str">
        <f>IF(OR(Таблица26[[#This Row],[Столбец5]]="отсутствует",Таблица26[[#This Row],[Столбец5]]=""),"",VLOOKUP(A41,'Р 4. Показатели_индикаторы'!$A$9:$J$103,3,FALSE))</f>
        <v/>
      </c>
      <c r="J41" s="6" t="str">
        <f>IF(OR(Таблица26[[#This Row],[Столбец5]]="отсутствует",Таблица26[[#This Row],[Столбец5]]=""),"",VLOOKUP(A41,'Р 4. Показатели_индикаторы'!$A$9:$J$103,4,FALSE))</f>
        <v/>
      </c>
      <c r="K41" s="6" t="str">
        <f>IF(OR(Таблица26[[#This Row],[Столбец1]]="",Таблица26[[#This Row],[Столбец5]]="",Таблица26[[#This Row],[Столбец5]]="отсутствует"),"",VLOOKUP(A41,'Р 4. Показатели_индикаторы'!$A$9:$J$103,5,FALSE))</f>
        <v/>
      </c>
      <c r="L41" s="6" t="str">
        <f>IF(OR(Таблица26[[#This Row],[Столбец1]]="",Таблица26[[#This Row],[Столбец5]]="",Таблица26[[#This Row],[Столбец5]]="отсутствует"),"",VLOOKUP(A41,'Р 4. Показатели_индикаторы'!$A$9:$J$103,6,FALSE))</f>
        <v/>
      </c>
      <c r="M41" s="6" t="str">
        <f>IF(OR(Таблица26[[#This Row],[Столбец1]]="",Таблица26[[#This Row],[Столбец5]]="",Таблица26[[#This Row],[Столбец5]]="отсутствует"),"",VLOOKUP(A41,'Р 4. Показатели_индикаторы'!$A$9:$J$103,7,FALSE))</f>
        <v/>
      </c>
      <c r="N41" s="6" t="str">
        <f>IF(OR(Таблица26[[#This Row],[Столбец1]]="",Таблица26[[#This Row],[Столбец5]]="",Таблица26[[#This Row],[Столбец5]]="отсутствует"),"",VLOOKUP(A41,'Р 4. Показатели_индикаторы'!$A$9:$J$103,8,FALSE))</f>
        <v/>
      </c>
      <c r="O41" s="10" t="str">
        <f>IF(VLOOKUP(A41,'Р 1. "Общие сведения"'!$I$8:$L$179,4,FALSE)="","",VLOOKUP(A41,'Р 1. "Общие сведения"'!$I$8:$L$179,4,FALSE))</f>
        <v/>
      </c>
    </row>
    <row r="42" spans="1:15" x14ac:dyDescent="0.25">
      <c r="A42" s="48" t="str">
        <f>IF('Р 1. "Общие сведения"'!I42="","",'Р 1. "Общие сведения"'!I42)</f>
        <v xml:space="preserve"> </v>
      </c>
      <c r="B42" s="44" t="str">
        <f>IF('Р 1. "Общие сведения"'!J42="","",'Р 1. "Общие сведения"'!J42)</f>
        <v/>
      </c>
      <c r="C42" s="44" t="str">
        <f>IF('Р 1. "Общие сведения"'!H42="","",'Р 1. "Общие сведения"'!H42)</f>
        <v/>
      </c>
      <c r="D42" s="44" t="str">
        <f>IF('Р 1. "Общие сведения"'!D42="","",'Р 1. "Общие сведения"'!D42)</f>
        <v/>
      </c>
      <c r="E42" s="44" t="str">
        <f>IF('Р 1. "Общие сведения"'!K42="","",'Р 1. "Общие сведения"'!K42)</f>
        <v/>
      </c>
      <c r="F42" s="45" t="str">
        <f>IF(OR(Таблица26[[#This Row],[Столбец1]]="",Таблица26[[#This Row],[Столбец5]]="",),"",VLOOKUP(A42,Таблица9[#All],2,FALSE))</f>
        <v/>
      </c>
      <c r="G42" s="47" t="str">
        <f>IF(OR(Таблица26[[#This Row],[Столбец1]]="",Таблица26[[#This Row],[Столбец5]]=""),"",VLOOKUP(A42,'Р 5. Финансирование'!$A$9:$D$100,3,FALSE))</f>
        <v/>
      </c>
      <c r="H42" s="47" t="str">
        <f>IF(OR(Таблица26[[#This Row],[Столбец1]]="",Таблица26[[#This Row],[Столбец5]]=""),"",VLOOKUP(A42,'Р 5. Финансирование'!$A$9:$D$100,4,FALSE))</f>
        <v/>
      </c>
      <c r="I42" s="6" t="str">
        <f>IF(OR(Таблица26[[#This Row],[Столбец5]]="отсутствует",Таблица26[[#This Row],[Столбец5]]=""),"",VLOOKUP(A42,'Р 4. Показатели_индикаторы'!$A$9:$J$103,3,FALSE))</f>
        <v/>
      </c>
      <c r="J42" s="6" t="str">
        <f>IF(OR(Таблица26[[#This Row],[Столбец5]]="отсутствует",Таблица26[[#This Row],[Столбец5]]=""),"",VLOOKUP(A42,'Р 4. Показатели_индикаторы'!$A$9:$J$103,4,FALSE))</f>
        <v/>
      </c>
      <c r="K42" s="6" t="str">
        <f>IF(OR(Таблица26[[#This Row],[Столбец1]]="",Таблица26[[#This Row],[Столбец5]]="",Таблица26[[#This Row],[Столбец5]]="отсутствует"),"",VLOOKUP(A42,'Р 4. Показатели_индикаторы'!$A$9:$J$103,5,FALSE))</f>
        <v/>
      </c>
      <c r="L42" s="6" t="str">
        <f>IF(OR(Таблица26[[#This Row],[Столбец1]]="",Таблица26[[#This Row],[Столбец5]]="",Таблица26[[#This Row],[Столбец5]]="отсутствует"),"",VLOOKUP(A42,'Р 4. Показатели_индикаторы'!$A$9:$J$103,6,FALSE))</f>
        <v/>
      </c>
      <c r="M42" s="6" t="str">
        <f>IF(OR(Таблица26[[#This Row],[Столбец1]]="",Таблица26[[#This Row],[Столбец5]]="",Таблица26[[#This Row],[Столбец5]]="отсутствует"),"",VLOOKUP(A42,'Р 4. Показатели_индикаторы'!$A$9:$J$103,7,FALSE))</f>
        <v/>
      </c>
      <c r="N42" s="6" t="str">
        <f>IF(OR(Таблица26[[#This Row],[Столбец1]]="",Таблица26[[#This Row],[Столбец5]]="",Таблица26[[#This Row],[Столбец5]]="отсутствует"),"",VLOOKUP(A42,'Р 4. Показатели_индикаторы'!$A$9:$J$103,8,FALSE))</f>
        <v/>
      </c>
      <c r="O42" s="10" t="str">
        <f>IF(VLOOKUP(A42,'Р 1. "Общие сведения"'!$I$8:$L$179,4,FALSE)="","",VLOOKUP(A42,'Р 1. "Общие сведения"'!$I$8:$L$179,4,FALSE))</f>
        <v/>
      </c>
    </row>
    <row r="43" spans="1:15" x14ac:dyDescent="0.25">
      <c r="A43" s="48" t="str">
        <f>IF('Р 1. "Общие сведения"'!I43="","",'Р 1. "Общие сведения"'!I43)</f>
        <v xml:space="preserve"> </v>
      </c>
      <c r="B43" s="44" t="str">
        <f>IF('Р 1. "Общие сведения"'!J43="","",'Р 1. "Общие сведения"'!J43)</f>
        <v/>
      </c>
      <c r="C43" s="44" t="str">
        <f>IF('Р 1. "Общие сведения"'!H43="","",'Р 1. "Общие сведения"'!H43)</f>
        <v/>
      </c>
      <c r="D43" s="44" t="str">
        <f>IF('Р 1. "Общие сведения"'!D43="","",'Р 1. "Общие сведения"'!D43)</f>
        <v/>
      </c>
      <c r="E43" s="44" t="str">
        <f>IF('Р 1. "Общие сведения"'!K43="","",'Р 1. "Общие сведения"'!K43)</f>
        <v/>
      </c>
      <c r="F43" s="45" t="str">
        <f>IF(OR(Таблица26[[#This Row],[Столбец1]]="",Таблица26[[#This Row],[Столбец5]]="",),"",VLOOKUP(A43,Таблица9[#All],2,FALSE))</f>
        <v/>
      </c>
      <c r="G43" s="47" t="str">
        <f>IF(OR(Таблица26[[#This Row],[Столбец1]]="",Таблица26[[#This Row],[Столбец5]]=""),"",VLOOKUP(A43,'Р 5. Финансирование'!$A$9:$D$100,3,FALSE))</f>
        <v/>
      </c>
      <c r="H43" s="47" t="str">
        <f>IF(OR(Таблица26[[#This Row],[Столбец1]]="",Таблица26[[#This Row],[Столбец5]]=""),"",VLOOKUP(A43,'Р 5. Финансирование'!$A$9:$D$100,4,FALSE))</f>
        <v/>
      </c>
      <c r="I43" s="6" t="str">
        <f>IF(OR(Таблица26[[#This Row],[Столбец5]]="отсутствует",Таблица26[[#This Row],[Столбец5]]=""),"",VLOOKUP(A43,'Р 4. Показатели_индикаторы'!$A$9:$J$103,3,FALSE))</f>
        <v/>
      </c>
      <c r="J43" s="6" t="str">
        <f>IF(OR(Таблица26[[#This Row],[Столбец5]]="отсутствует",Таблица26[[#This Row],[Столбец5]]=""),"",VLOOKUP(A43,'Р 4. Показатели_индикаторы'!$A$9:$J$103,4,FALSE))</f>
        <v/>
      </c>
      <c r="K43" s="6" t="str">
        <f>IF(OR(Таблица26[[#This Row],[Столбец1]]="",Таблица26[[#This Row],[Столбец5]]="",Таблица26[[#This Row],[Столбец5]]="отсутствует"),"",VLOOKUP(A43,'Р 4. Показатели_индикаторы'!$A$9:$J$103,5,FALSE))</f>
        <v/>
      </c>
      <c r="L43" s="6" t="str">
        <f>IF(OR(Таблица26[[#This Row],[Столбец1]]="",Таблица26[[#This Row],[Столбец5]]="",Таблица26[[#This Row],[Столбец5]]="отсутствует"),"",VLOOKUP(A43,'Р 4. Показатели_индикаторы'!$A$9:$J$103,6,FALSE))</f>
        <v/>
      </c>
      <c r="M43" s="6" t="str">
        <f>IF(OR(Таблица26[[#This Row],[Столбец1]]="",Таблица26[[#This Row],[Столбец5]]="",Таблица26[[#This Row],[Столбец5]]="отсутствует"),"",VLOOKUP(A43,'Р 4. Показатели_индикаторы'!$A$9:$J$103,7,FALSE))</f>
        <v/>
      </c>
      <c r="N43" s="6" t="str">
        <f>IF(OR(Таблица26[[#This Row],[Столбец1]]="",Таблица26[[#This Row],[Столбец5]]="",Таблица26[[#This Row],[Столбец5]]="отсутствует"),"",VLOOKUP(A43,'Р 4. Показатели_индикаторы'!$A$9:$J$103,8,FALSE))</f>
        <v/>
      </c>
      <c r="O43" s="10" t="str">
        <f>IF(VLOOKUP(A43,'Р 1. "Общие сведения"'!$I$8:$L$179,4,FALSE)="","",VLOOKUP(A43,'Р 1. "Общие сведения"'!$I$8:$L$179,4,FALSE))</f>
        <v/>
      </c>
    </row>
    <row r="44" spans="1:15" x14ac:dyDescent="0.25">
      <c r="A44" s="48" t="str">
        <f>IF('Р 1. "Общие сведения"'!I44="","",'Р 1. "Общие сведения"'!I44)</f>
        <v xml:space="preserve"> </v>
      </c>
      <c r="B44" s="44" t="str">
        <f>IF('Р 1. "Общие сведения"'!J44="","",'Р 1. "Общие сведения"'!J44)</f>
        <v/>
      </c>
      <c r="C44" s="44" t="str">
        <f>IF('Р 1. "Общие сведения"'!H44="","",'Р 1. "Общие сведения"'!H44)</f>
        <v/>
      </c>
      <c r="D44" s="44" t="str">
        <f>IF('Р 1. "Общие сведения"'!D44="","",'Р 1. "Общие сведения"'!D44)</f>
        <v/>
      </c>
      <c r="E44" s="44" t="str">
        <f>IF('Р 1. "Общие сведения"'!K44="","",'Р 1. "Общие сведения"'!K44)</f>
        <v/>
      </c>
      <c r="F44" s="45" t="str">
        <f>IF(OR(Таблица26[[#This Row],[Столбец1]]="",Таблица26[[#This Row],[Столбец5]]="",),"",VLOOKUP(A44,Таблица9[#All],2,FALSE))</f>
        <v/>
      </c>
      <c r="G44" s="47" t="str">
        <f>IF(OR(Таблица26[[#This Row],[Столбец1]]="",Таблица26[[#This Row],[Столбец5]]=""),"",VLOOKUP(A44,'Р 5. Финансирование'!$A$9:$D$100,3,FALSE))</f>
        <v/>
      </c>
      <c r="H44" s="47" t="str">
        <f>IF(OR(Таблица26[[#This Row],[Столбец1]]="",Таблица26[[#This Row],[Столбец5]]=""),"",VLOOKUP(A44,'Р 5. Финансирование'!$A$9:$D$100,4,FALSE))</f>
        <v/>
      </c>
      <c r="I44" s="6" t="str">
        <f>IF(OR(Таблица26[[#This Row],[Столбец5]]="отсутствует",Таблица26[[#This Row],[Столбец5]]=""),"",VLOOKUP(A44,'Р 4. Показатели_индикаторы'!$A$9:$J$103,3,FALSE))</f>
        <v/>
      </c>
      <c r="J44" s="6" t="str">
        <f>IF(OR(Таблица26[[#This Row],[Столбец5]]="отсутствует",Таблица26[[#This Row],[Столбец5]]=""),"",VLOOKUP(A44,'Р 4. Показатели_индикаторы'!$A$9:$J$103,4,FALSE))</f>
        <v/>
      </c>
      <c r="K44" s="6" t="str">
        <f>IF(OR(Таблица26[[#This Row],[Столбец1]]="",Таблица26[[#This Row],[Столбец5]]="",Таблица26[[#This Row],[Столбец5]]="отсутствует"),"",VLOOKUP(A44,'Р 4. Показатели_индикаторы'!$A$9:$J$103,5,FALSE))</f>
        <v/>
      </c>
      <c r="L44" s="6" t="str">
        <f>IF(OR(Таблица26[[#This Row],[Столбец1]]="",Таблица26[[#This Row],[Столбец5]]="",Таблица26[[#This Row],[Столбец5]]="отсутствует"),"",VLOOKUP(A44,'Р 4. Показатели_индикаторы'!$A$9:$J$103,6,FALSE))</f>
        <v/>
      </c>
      <c r="M44" s="6" t="str">
        <f>IF(OR(Таблица26[[#This Row],[Столбец1]]="",Таблица26[[#This Row],[Столбец5]]="",Таблица26[[#This Row],[Столбец5]]="отсутствует"),"",VLOOKUP(A44,'Р 4. Показатели_индикаторы'!$A$9:$J$103,7,FALSE))</f>
        <v/>
      </c>
      <c r="N44" s="6" t="str">
        <f>IF(OR(Таблица26[[#This Row],[Столбец1]]="",Таблица26[[#This Row],[Столбец5]]="",Таблица26[[#This Row],[Столбец5]]="отсутствует"),"",VLOOKUP(A44,'Р 4. Показатели_индикаторы'!$A$9:$J$103,8,FALSE))</f>
        <v/>
      </c>
      <c r="O44" s="10" t="str">
        <f>IF(VLOOKUP(A44,'Р 1. "Общие сведения"'!$I$8:$L$179,4,FALSE)="","",VLOOKUP(A44,'Р 1. "Общие сведения"'!$I$8:$L$179,4,FALSE))</f>
        <v/>
      </c>
    </row>
    <row r="45" spans="1:15" x14ac:dyDescent="0.25">
      <c r="A45" s="48" t="str">
        <f>IF('Р 1. "Общие сведения"'!I45="","",'Р 1. "Общие сведения"'!I45)</f>
        <v xml:space="preserve"> </v>
      </c>
      <c r="B45" s="44" t="str">
        <f>IF('Р 1. "Общие сведения"'!J45="","",'Р 1. "Общие сведения"'!J45)</f>
        <v/>
      </c>
      <c r="C45" s="44" t="str">
        <f>IF('Р 1. "Общие сведения"'!H45="","",'Р 1. "Общие сведения"'!H45)</f>
        <v/>
      </c>
      <c r="D45" s="44" t="str">
        <f>IF('Р 1. "Общие сведения"'!D45="","",'Р 1. "Общие сведения"'!D45)</f>
        <v/>
      </c>
      <c r="E45" s="44" t="str">
        <f>IF('Р 1. "Общие сведения"'!K45="","",'Р 1. "Общие сведения"'!K45)</f>
        <v/>
      </c>
      <c r="F45" s="45" t="str">
        <f>IF(OR(Таблица26[[#This Row],[Столбец1]]="",Таблица26[[#This Row],[Столбец5]]="",),"",VLOOKUP(A45,Таблица9[#All],2,FALSE))</f>
        <v/>
      </c>
      <c r="G45" s="47" t="str">
        <f>IF(OR(Таблица26[[#This Row],[Столбец1]]="",Таблица26[[#This Row],[Столбец5]]=""),"",VLOOKUP(A45,'Р 5. Финансирование'!$A$9:$D$100,3,FALSE))</f>
        <v/>
      </c>
      <c r="H45" s="47" t="str">
        <f>IF(OR(Таблица26[[#This Row],[Столбец1]]="",Таблица26[[#This Row],[Столбец5]]=""),"",VLOOKUP(A45,'Р 5. Финансирование'!$A$9:$D$100,4,FALSE))</f>
        <v/>
      </c>
      <c r="I45" s="6" t="str">
        <f>IF(OR(Таблица26[[#This Row],[Столбец5]]="отсутствует",Таблица26[[#This Row],[Столбец5]]=""),"",VLOOKUP(A45,'Р 4. Показатели_индикаторы'!$A$9:$J$103,3,FALSE))</f>
        <v/>
      </c>
      <c r="J45" s="6" t="str">
        <f>IF(OR(Таблица26[[#This Row],[Столбец5]]="отсутствует",Таблица26[[#This Row],[Столбец5]]=""),"",VLOOKUP(A45,'Р 4. Показатели_индикаторы'!$A$9:$J$103,4,FALSE))</f>
        <v/>
      </c>
      <c r="K45" s="6" t="str">
        <f>IF(OR(Таблица26[[#This Row],[Столбец1]]="",Таблица26[[#This Row],[Столбец5]]="",Таблица26[[#This Row],[Столбец5]]="отсутствует"),"",VLOOKUP(A45,'Р 4. Показатели_индикаторы'!$A$9:$J$103,5,FALSE))</f>
        <v/>
      </c>
      <c r="L45" s="6" t="str">
        <f>IF(OR(Таблица26[[#This Row],[Столбец1]]="",Таблица26[[#This Row],[Столбец5]]="",Таблица26[[#This Row],[Столбец5]]="отсутствует"),"",VLOOKUP(A45,'Р 4. Показатели_индикаторы'!$A$9:$J$103,6,FALSE))</f>
        <v/>
      </c>
      <c r="M45" s="6" t="str">
        <f>IF(OR(Таблица26[[#This Row],[Столбец1]]="",Таблица26[[#This Row],[Столбец5]]="",Таблица26[[#This Row],[Столбец5]]="отсутствует"),"",VLOOKUP(A45,'Р 4. Показатели_индикаторы'!$A$9:$J$103,7,FALSE))</f>
        <v/>
      </c>
      <c r="N45" s="6" t="str">
        <f>IF(OR(Таблица26[[#This Row],[Столбец1]]="",Таблица26[[#This Row],[Столбец5]]="",Таблица26[[#This Row],[Столбец5]]="отсутствует"),"",VLOOKUP(A45,'Р 4. Показатели_индикаторы'!$A$9:$J$103,8,FALSE))</f>
        <v/>
      </c>
      <c r="O45" s="10" t="str">
        <f>IF(VLOOKUP(A45,'Р 1. "Общие сведения"'!$I$8:$L$179,4,FALSE)="","",VLOOKUP(A45,'Р 1. "Общие сведения"'!$I$8:$L$179,4,FALSE))</f>
        <v/>
      </c>
    </row>
    <row r="46" spans="1:15" x14ac:dyDescent="0.25">
      <c r="A46" s="48" t="str">
        <f>IF('Р 1. "Общие сведения"'!I46="","",'Р 1. "Общие сведения"'!I46)</f>
        <v xml:space="preserve"> </v>
      </c>
      <c r="B46" s="44" t="str">
        <f>IF('Р 1. "Общие сведения"'!J46="","",'Р 1. "Общие сведения"'!J46)</f>
        <v/>
      </c>
      <c r="C46" s="44" t="str">
        <f>IF('Р 1. "Общие сведения"'!H46="","",'Р 1. "Общие сведения"'!H46)</f>
        <v/>
      </c>
      <c r="D46" s="44" t="str">
        <f>IF('Р 1. "Общие сведения"'!D46="","",'Р 1. "Общие сведения"'!D46)</f>
        <v/>
      </c>
      <c r="E46" s="44" t="str">
        <f>IF('Р 1. "Общие сведения"'!K46="","",'Р 1. "Общие сведения"'!K46)</f>
        <v/>
      </c>
      <c r="F46" s="45" t="str">
        <f>IF(OR(Таблица26[[#This Row],[Столбец1]]="",Таблица26[[#This Row],[Столбец5]]="",),"",VLOOKUP(A46,Таблица9[#All],2,FALSE))</f>
        <v/>
      </c>
      <c r="G46" s="47" t="str">
        <f>IF(OR(Таблица26[[#This Row],[Столбец1]]="",Таблица26[[#This Row],[Столбец5]]=""),"",VLOOKUP(A46,'Р 5. Финансирование'!$A$9:$D$100,3,FALSE))</f>
        <v/>
      </c>
      <c r="H46" s="47" t="str">
        <f>IF(OR(Таблица26[[#This Row],[Столбец1]]="",Таблица26[[#This Row],[Столбец5]]=""),"",VLOOKUP(A46,'Р 5. Финансирование'!$A$9:$D$100,4,FALSE))</f>
        <v/>
      </c>
      <c r="I46" s="6" t="str">
        <f>IF(OR(Таблица26[[#This Row],[Столбец5]]="отсутствует",Таблица26[[#This Row],[Столбец5]]=""),"",VLOOKUP(A46,'Р 4. Показатели_индикаторы'!$A$9:$J$103,3,FALSE))</f>
        <v/>
      </c>
      <c r="J46" s="6" t="str">
        <f>IF(OR(Таблица26[[#This Row],[Столбец5]]="отсутствует",Таблица26[[#This Row],[Столбец5]]=""),"",VLOOKUP(A46,'Р 4. Показатели_индикаторы'!$A$9:$J$103,4,FALSE))</f>
        <v/>
      </c>
      <c r="K46" s="6" t="str">
        <f>IF(OR(Таблица26[[#This Row],[Столбец1]]="",Таблица26[[#This Row],[Столбец5]]="",Таблица26[[#This Row],[Столбец5]]="отсутствует"),"",VLOOKUP(A46,'Р 4. Показатели_индикаторы'!$A$9:$J$103,5,FALSE))</f>
        <v/>
      </c>
      <c r="L46" s="6" t="str">
        <f>IF(OR(Таблица26[[#This Row],[Столбец1]]="",Таблица26[[#This Row],[Столбец5]]="",Таблица26[[#This Row],[Столбец5]]="отсутствует"),"",VLOOKUP(A46,'Р 4. Показатели_индикаторы'!$A$9:$J$103,6,FALSE))</f>
        <v/>
      </c>
      <c r="M46" s="6" t="str">
        <f>IF(OR(Таблица26[[#This Row],[Столбец1]]="",Таблица26[[#This Row],[Столбец5]]="",Таблица26[[#This Row],[Столбец5]]="отсутствует"),"",VLOOKUP(A46,'Р 4. Показатели_индикаторы'!$A$9:$J$103,7,FALSE))</f>
        <v/>
      </c>
      <c r="N46" s="6" t="str">
        <f>IF(OR(Таблица26[[#This Row],[Столбец1]]="",Таблица26[[#This Row],[Столбец5]]="",Таблица26[[#This Row],[Столбец5]]="отсутствует"),"",VLOOKUP(A46,'Р 4. Показатели_индикаторы'!$A$9:$J$103,8,FALSE))</f>
        <v/>
      </c>
      <c r="O46" s="10" t="str">
        <f>IF(VLOOKUP(A46,'Р 1. "Общие сведения"'!$I$8:$L$179,4,FALSE)="","",VLOOKUP(A46,'Р 1. "Общие сведения"'!$I$8:$L$179,4,FALSE))</f>
        <v/>
      </c>
    </row>
    <row r="47" spans="1:15" x14ac:dyDescent="0.25">
      <c r="A47" s="48" t="str">
        <f>IF('Р 1. "Общие сведения"'!I47="","",'Р 1. "Общие сведения"'!I47)</f>
        <v xml:space="preserve"> </v>
      </c>
      <c r="B47" s="44" t="str">
        <f>IF('Р 1. "Общие сведения"'!J47="","",'Р 1. "Общие сведения"'!J47)</f>
        <v/>
      </c>
      <c r="C47" s="44" t="str">
        <f>IF('Р 1. "Общие сведения"'!H47="","",'Р 1. "Общие сведения"'!H47)</f>
        <v/>
      </c>
      <c r="D47" s="44" t="str">
        <f>IF('Р 1. "Общие сведения"'!D47="","",'Р 1. "Общие сведения"'!D47)</f>
        <v/>
      </c>
      <c r="E47" s="44" t="str">
        <f>IF('Р 1. "Общие сведения"'!K47="","",'Р 1. "Общие сведения"'!K47)</f>
        <v/>
      </c>
      <c r="F47" s="45" t="str">
        <f>IF(OR(Таблица26[[#This Row],[Столбец1]]="",Таблица26[[#This Row],[Столбец5]]="",),"",VLOOKUP(A47,Таблица9[#All],2,FALSE))</f>
        <v/>
      </c>
      <c r="G47" s="47" t="str">
        <f>IF(OR(Таблица26[[#This Row],[Столбец1]]="",Таблица26[[#This Row],[Столбец5]]=""),"",VLOOKUP(A47,'Р 5. Финансирование'!$A$9:$D$100,3,FALSE))</f>
        <v/>
      </c>
      <c r="H47" s="47" t="str">
        <f>IF(OR(Таблица26[[#This Row],[Столбец1]]="",Таблица26[[#This Row],[Столбец5]]=""),"",VLOOKUP(A47,'Р 5. Финансирование'!$A$9:$D$100,4,FALSE))</f>
        <v/>
      </c>
      <c r="I47" s="6" t="str">
        <f>IF(OR(Таблица26[[#This Row],[Столбец5]]="отсутствует",Таблица26[[#This Row],[Столбец5]]=""),"",VLOOKUP(A47,'Р 4. Показатели_индикаторы'!$A$9:$J$103,3,FALSE))</f>
        <v/>
      </c>
      <c r="J47" s="6" t="str">
        <f>IF(OR(Таблица26[[#This Row],[Столбец5]]="отсутствует",Таблица26[[#This Row],[Столбец5]]=""),"",VLOOKUP(A47,'Р 4. Показатели_индикаторы'!$A$9:$J$103,4,FALSE))</f>
        <v/>
      </c>
      <c r="K47" s="6" t="str">
        <f>IF(OR(Таблица26[[#This Row],[Столбец1]]="",Таблица26[[#This Row],[Столбец5]]="",Таблица26[[#This Row],[Столбец5]]="отсутствует"),"",VLOOKUP(A47,'Р 4. Показатели_индикаторы'!$A$9:$J$103,5,FALSE))</f>
        <v/>
      </c>
      <c r="L47" s="6" t="str">
        <f>IF(OR(Таблица26[[#This Row],[Столбец1]]="",Таблица26[[#This Row],[Столбец5]]="",Таблица26[[#This Row],[Столбец5]]="отсутствует"),"",VLOOKUP(A47,'Р 4. Показатели_индикаторы'!$A$9:$J$103,6,FALSE))</f>
        <v/>
      </c>
      <c r="M47" s="6" t="str">
        <f>IF(OR(Таблица26[[#This Row],[Столбец1]]="",Таблица26[[#This Row],[Столбец5]]="",Таблица26[[#This Row],[Столбец5]]="отсутствует"),"",VLOOKUP(A47,'Р 4. Показатели_индикаторы'!$A$9:$J$103,7,FALSE))</f>
        <v/>
      </c>
      <c r="N47" s="6" t="str">
        <f>IF(OR(Таблица26[[#This Row],[Столбец1]]="",Таблица26[[#This Row],[Столбец5]]="",Таблица26[[#This Row],[Столбец5]]="отсутствует"),"",VLOOKUP(A47,'Р 4. Показатели_индикаторы'!$A$9:$J$103,8,FALSE))</f>
        <v/>
      </c>
      <c r="O47" s="10" t="str">
        <f>IF(VLOOKUP(A47,'Р 1. "Общие сведения"'!$I$8:$L$179,4,FALSE)="","",VLOOKUP(A47,'Р 1. "Общие сведения"'!$I$8:$L$179,4,FALSE))</f>
        <v/>
      </c>
    </row>
    <row r="48" spans="1:15" x14ac:dyDescent="0.25">
      <c r="A48" s="48" t="str">
        <f>IF('Р 1. "Общие сведения"'!I48="","",'Р 1. "Общие сведения"'!I48)</f>
        <v xml:space="preserve"> </v>
      </c>
      <c r="B48" s="44" t="str">
        <f>IF('Р 1. "Общие сведения"'!J48="","",'Р 1. "Общие сведения"'!J48)</f>
        <v/>
      </c>
      <c r="C48" s="44" t="str">
        <f>IF('Р 1. "Общие сведения"'!H48="","",'Р 1. "Общие сведения"'!H48)</f>
        <v/>
      </c>
      <c r="D48" s="44" t="str">
        <f>IF('Р 1. "Общие сведения"'!D48="","",'Р 1. "Общие сведения"'!D48)</f>
        <v/>
      </c>
      <c r="E48" s="44" t="str">
        <f>IF('Р 1. "Общие сведения"'!K48="","",'Р 1. "Общие сведения"'!K48)</f>
        <v/>
      </c>
      <c r="F48" s="45" t="str">
        <f>IF(OR(Таблица26[[#This Row],[Столбец1]]="",Таблица26[[#This Row],[Столбец5]]="",),"",VLOOKUP(A48,Таблица9[#All],2,FALSE))</f>
        <v/>
      </c>
      <c r="G48" s="47" t="str">
        <f>IF(OR(Таблица26[[#This Row],[Столбец1]]="",Таблица26[[#This Row],[Столбец5]]=""),"",VLOOKUP(A48,'Р 5. Финансирование'!$A$9:$D$100,3,FALSE))</f>
        <v/>
      </c>
      <c r="H48" s="47" t="str">
        <f>IF(OR(Таблица26[[#This Row],[Столбец1]]="",Таблица26[[#This Row],[Столбец5]]=""),"",VLOOKUP(A48,'Р 5. Финансирование'!$A$9:$D$100,4,FALSE))</f>
        <v/>
      </c>
      <c r="I48" s="6" t="str">
        <f>IF(OR(Таблица26[[#This Row],[Столбец5]]="отсутствует",Таблица26[[#This Row],[Столбец5]]=""),"",VLOOKUP(A48,'Р 4. Показатели_индикаторы'!$A$9:$J$103,3,FALSE))</f>
        <v/>
      </c>
      <c r="J48" s="6" t="str">
        <f>IF(OR(Таблица26[[#This Row],[Столбец5]]="отсутствует",Таблица26[[#This Row],[Столбец5]]=""),"",VLOOKUP(A48,'Р 4. Показатели_индикаторы'!$A$9:$J$103,4,FALSE))</f>
        <v/>
      </c>
      <c r="K48" s="6" t="str">
        <f>IF(OR(Таблица26[[#This Row],[Столбец1]]="",Таблица26[[#This Row],[Столбец5]]="",Таблица26[[#This Row],[Столбец5]]="отсутствует"),"",VLOOKUP(A48,'Р 4. Показатели_индикаторы'!$A$9:$J$103,5,FALSE))</f>
        <v/>
      </c>
      <c r="L48" s="6" t="str">
        <f>IF(OR(Таблица26[[#This Row],[Столбец1]]="",Таблица26[[#This Row],[Столбец5]]="",Таблица26[[#This Row],[Столбец5]]="отсутствует"),"",VLOOKUP(A48,'Р 4. Показатели_индикаторы'!$A$9:$J$103,6,FALSE))</f>
        <v/>
      </c>
      <c r="M48" s="6" t="str">
        <f>IF(OR(Таблица26[[#This Row],[Столбец1]]="",Таблица26[[#This Row],[Столбец5]]="",Таблица26[[#This Row],[Столбец5]]="отсутствует"),"",VLOOKUP(A48,'Р 4. Показатели_индикаторы'!$A$9:$J$103,7,FALSE))</f>
        <v/>
      </c>
      <c r="N48" s="6" t="str">
        <f>IF(OR(Таблица26[[#This Row],[Столбец1]]="",Таблица26[[#This Row],[Столбец5]]="",Таблица26[[#This Row],[Столбец5]]="отсутствует"),"",VLOOKUP(A48,'Р 4. Показатели_индикаторы'!$A$9:$J$103,8,FALSE))</f>
        <v/>
      </c>
      <c r="O48" s="10" t="str">
        <f>IF(VLOOKUP(A48,'Р 1. "Общие сведения"'!$I$8:$L$179,4,FALSE)="","",VLOOKUP(A48,'Р 1. "Общие сведения"'!$I$8:$L$179,4,FALSE))</f>
        <v/>
      </c>
    </row>
    <row r="49" spans="1:15" x14ac:dyDescent="0.25">
      <c r="A49" s="48" t="str">
        <f>IF('Р 1. "Общие сведения"'!I49="","",'Р 1. "Общие сведения"'!I49)</f>
        <v xml:space="preserve"> </v>
      </c>
      <c r="B49" s="44" t="str">
        <f>IF('Р 1. "Общие сведения"'!J49="","",'Р 1. "Общие сведения"'!J49)</f>
        <v/>
      </c>
      <c r="C49" s="44" t="str">
        <f>IF('Р 1. "Общие сведения"'!H49="","",'Р 1. "Общие сведения"'!H49)</f>
        <v/>
      </c>
      <c r="D49" s="44" t="str">
        <f>IF('Р 1. "Общие сведения"'!D49="","",'Р 1. "Общие сведения"'!D49)</f>
        <v/>
      </c>
      <c r="E49" s="44" t="str">
        <f>IF('Р 1. "Общие сведения"'!K49="","",'Р 1. "Общие сведения"'!K49)</f>
        <v/>
      </c>
      <c r="F49" s="45" t="str">
        <f>IF(OR(Таблица26[[#This Row],[Столбец1]]="",Таблица26[[#This Row],[Столбец5]]="",),"",VLOOKUP(A49,Таблица9[#All],2,FALSE))</f>
        <v/>
      </c>
      <c r="G49" s="47" t="str">
        <f>IF(OR(Таблица26[[#This Row],[Столбец1]]="",Таблица26[[#This Row],[Столбец5]]=""),"",VLOOKUP(A49,'Р 5. Финансирование'!$A$9:$D$100,3,FALSE))</f>
        <v/>
      </c>
      <c r="H49" s="47" t="str">
        <f>IF(OR(Таблица26[[#This Row],[Столбец1]]="",Таблица26[[#This Row],[Столбец5]]=""),"",VLOOKUP(A49,'Р 5. Финансирование'!$A$9:$D$100,4,FALSE))</f>
        <v/>
      </c>
      <c r="I49" s="6" t="str">
        <f>IF(OR(Таблица26[[#This Row],[Столбец5]]="отсутствует",Таблица26[[#This Row],[Столбец5]]=""),"",VLOOKUP(A49,'Р 4. Показатели_индикаторы'!$A$9:$J$103,3,FALSE))</f>
        <v/>
      </c>
      <c r="J49" s="6" t="str">
        <f>IF(OR(Таблица26[[#This Row],[Столбец5]]="отсутствует",Таблица26[[#This Row],[Столбец5]]=""),"",VLOOKUP(A49,'Р 4. Показатели_индикаторы'!$A$9:$J$103,4,FALSE))</f>
        <v/>
      </c>
      <c r="K49" s="6" t="str">
        <f>IF(OR(Таблица26[[#This Row],[Столбец1]]="",Таблица26[[#This Row],[Столбец5]]="",Таблица26[[#This Row],[Столбец5]]="отсутствует"),"",VLOOKUP(A49,'Р 4. Показатели_индикаторы'!$A$9:$J$103,5,FALSE))</f>
        <v/>
      </c>
      <c r="L49" s="6" t="str">
        <f>IF(OR(Таблица26[[#This Row],[Столбец1]]="",Таблица26[[#This Row],[Столбец5]]="",Таблица26[[#This Row],[Столбец5]]="отсутствует"),"",VLOOKUP(A49,'Р 4. Показатели_индикаторы'!$A$9:$J$103,6,FALSE))</f>
        <v/>
      </c>
      <c r="M49" s="6" t="str">
        <f>IF(OR(Таблица26[[#This Row],[Столбец1]]="",Таблица26[[#This Row],[Столбец5]]="",Таблица26[[#This Row],[Столбец5]]="отсутствует"),"",VLOOKUP(A49,'Р 4. Показатели_индикаторы'!$A$9:$J$103,7,FALSE))</f>
        <v/>
      </c>
      <c r="N49" s="6" t="str">
        <f>IF(OR(Таблица26[[#This Row],[Столбец1]]="",Таблица26[[#This Row],[Столбец5]]="",Таблица26[[#This Row],[Столбец5]]="отсутствует"),"",VLOOKUP(A49,'Р 4. Показатели_индикаторы'!$A$9:$J$103,8,FALSE))</f>
        <v/>
      </c>
      <c r="O49" s="10" t="str">
        <f>IF(VLOOKUP(A49,'Р 1. "Общие сведения"'!$I$8:$L$179,4,FALSE)="","",VLOOKUP(A49,'Р 1. "Общие сведения"'!$I$8:$L$179,4,FALSE))</f>
        <v/>
      </c>
    </row>
    <row r="50" spans="1:15" x14ac:dyDescent="0.25">
      <c r="A50" s="48" t="str">
        <f>IF('Р 1. "Общие сведения"'!I50="","",'Р 1. "Общие сведения"'!I50)</f>
        <v xml:space="preserve"> </v>
      </c>
      <c r="B50" s="44" t="str">
        <f>IF('Р 1. "Общие сведения"'!J50="","",'Р 1. "Общие сведения"'!J50)</f>
        <v/>
      </c>
      <c r="C50" s="44" t="str">
        <f>IF('Р 1. "Общие сведения"'!H50="","",'Р 1. "Общие сведения"'!H50)</f>
        <v/>
      </c>
      <c r="D50" s="44" t="str">
        <f>IF('Р 1. "Общие сведения"'!D50="","",'Р 1. "Общие сведения"'!D50)</f>
        <v/>
      </c>
      <c r="E50" s="44" t="str">
        <f>IF('Р 1. "Общие сведения"'!K50="","",'Р 1. "Общие сведения"'!K50)</f>
        <v/>
      </c>
      <c r="F50" s="45" t="str">
        <f>IF(OR(Таблица26[[#This Row],[Столбец1]]="",Таблица26[[#This Row],[Столбец5]]="",),"",VLOOKUP(A50,Таблица9[#All],2,FALSE))</f>
        <v/>
      </c>
      <c r="G50" s="47" t="str">
        <f>IF(OR(Таблица26[[#This Row],[Столбец1]]="",Таблица26[[#This Row],[Столбец5]]=""),"",VLOOKUP(A50,'Р 5. Финансирование'!$A$9:$D$100,3,FALSE))</f>
        <v/>
      </c>
      <c r="H50" s="47" t="str">
        <f>IF(OR(Таблица26[[#This Row],[Столбец1]]="",Таблица26[[#This Row],[Столбец5]]=""),"",VLOOKUP(A50,'Р 5. Финансирование'!$A$9:$D$100,4,FALSE))</f>
        <v/>
      </c>
      <c r="I50" s="6" t="str">
        <f>IF(OR(Таблица26[[#This Row],[Столбец5]]="отсутствует",Таблица26[[#This Row],[Столбец5]]=""),"",VLOOKUP(A50,'Р 4. Показатели_индикаторы'!$A$9:$J$103,3,FALSE))</f>
        <v/>
      </c>
      <c r="J50" s="6" t="str">
        <f>IF(OR(Таблица26[[#This Row],[Столбец5]]="отсутствует",Таблица26[[#This Row],[Столбец5]]=""),"",VLOOKUP(A50,'Р 4. Показатели_индикаторы'!$A$9:$J$103,4,FALSE))</f>
        <v/>
      </c>
      <c r="K50" s="6" t="str">
        <f>IF(OR(Таблица26[[#This Row],[Столбец1]]="",Таблица26[[#This Row],[Столбец5]]="",Таблица26[[#This Row],[Столбец5]]="отсутствует"),"",VLOOKUP(A50,'Р 4. Показатели_индикаторы'!$A$9:$J$103,5,FALSE))</f>
        <v/>
      </c>
      <c r="L50" s="6" t="str">
        <f>IF(OR(Таблица26[[#This Row],[Столбец1]]="",Таблица26[[#This Row],[Столбец5]]="",Таблица26[[#This Row],[Столбец5]]="отсутствует"),"",VLOOKUP(A50,'Р 4. Показатели_индикаторы'!$A$9:$J$103,6,FALSE))</f>
        <v/>
      </c>
      <c r="M50" s="6" t="str">
        <f>IF(OR(Таблица26[[#This Row],[Столбец1]]="",Таблица26[[#This Row],[Столбец5]]="",Таблица26[[#This Row],[Столбец5]]="отсутствует"),"",VLOOKUP(A50,'Р 4. Показатели_индикаторы'!$A$9:$J$103,7,FALSE))</f>
        <v/>
      </c>
      <c r="N50" s="6" t="str">
        <f>IF(OR(Таблица26[[#This Row],[Столбец1]]="",Таблица26[[#This Row],[Столбец5]]="",Таблица26[[#This Row],[Столбец5]]="отсутствует"),"",VLOOKUP(A50,'Р 4. Показатели_индикаторы'!$A$9:$J$103,8,FALSE))</f>
        <v/>
      </c>
      <c r="O50" s="10" t="str">
        <f>IF(VLOOKUP(A50,'Р 1. "Общие сведения"'!$I$8:$L$179,4,FALSE)="","",VLOOKUP(A50,'Р 1. "Общие сведения"'!$I$8:$L$179,4,FALSE))</f>
        <v/>
      </c>
    </row>
    <row r="51" spans="1:15" x14ac:dyDescent="0.25">
      <c r="A51" s="48" t="str">
        <f>IF('Р 1. "Общие сведения"'!I51="","",'Р 1. "Общие сведения"'!I51)</f>
        <v xml:space="preserve"> </v>
      </c>
      <c r="B51" s="44" t="str">
        <f>IF('Р 1. "Общие сведения"'!J51="","",'Р 1. "Общие сведения"'!J51)</f>
        <v/>
      </c>
      <c r="C51" s="44" t="str">
        <f>IF('Р 1. "Общие сведения"'!H51="","",'Р 1. "Общие сведения"'!H51)</f>
        <v/>
      </c>
      <c r="D51" s="44" t="str">
        <f>IF('Р 1. "Общие сведения"'!D51="","",'Р 1. "Общие сведения"'!D51)</f>
        <v/>
      </c>
      <c r="E51" s="44" t="str">
        <f>IF('Р 1. "Общие сведения"'!K51="","",'Р 1. "Общие сведения"'!K51)</f>
        <v/>
      </c>
      <c r="F51" s="45" t="str">
        <f>IF(OR(Таблица26[[#This Row],[Столбец1]]="",Таблица26[[#This Row],[Столбец5]]="",),"",VLOOKUP(A51,Таблица9[#All],2,FALSE))</f>
        <v/>
      </c>
      <c r="G51" s="47" t="str">
        <f>IF(OR(Таблица26[[#This Row],[Столбец1]]="",Таблица26[[#This Row],[Столбец5]]=""),"",VLOOKUP(A51,'Р 5. Финансирование'!$A$9:$D$100,3,FALSE))</f>
        <v/>
      </c>
      <c r="H51" s="47" t="str">
        <f>IF(OR(Таблица26[[#This Row],[Столбец1]]="",Таблица26[[#This Row],[Столбец5]]=""),"",VLOOKUP(A51,'Р 5. Финансирование'!$A$9:$D$100,4,FALSE))</f>
        <v/>
      </c>
      <c r="I51" s="6" t="str">
        <f>IF(OR(Таблица26[[#This Row],[Столбец5]]="отсутствует",Таблица26[[#This Row],[Столбец5]]=""),"",VLOOKUP(A51,'Р 4. Показатели_индикаторы'!$A$9:$J$103,3,FALSE))</f>
        <v/>
      </c>
      <c r="J51" s="6" t="str">
        <f>IF(OR(Таблица26[[#This Row],[Столбец5]]="отсутствует",Таблица26[[#This Row],[Столбец5]]=""),"",VLOOKUP(A51,'Р 4. Показатели_индикаторы'!$A$9:$J$103,4,FALSE))</f>
        <v/>
      </c>
      <c r="K51" s="6" t="str">
        <f>IF(OR(Таблица26[[#This Row],[Столбец1]]="",Таблица26[[#This Row],[Столбец5]]="",Таблица26[[#This Row],[Столбец5]]="отсутствует"),"",VLOOKUP(A51,'Р 4. Показатели_индикаторы'!$A$9:$J$103,5,FALSE))</f>
        <v/>
      </c>
      <c r="L51" s="6" t="str">
        <f>IF(OR(Таблица26[[#This Row],[Столбец1]]="",Таблица26[[#This Row],[Столбец5]]="",Таблица26[[#This Row],[Столбец5]]="отсутствует"),"",VLOOKUP(A51,'Р 4. Показатели_индикаторы'!$A$9:$J$103,6,FALSE))</f>
        <v/>
      </c>
      <c r="M51" s="6" t="str">
        <f>IF(OR(Таблица26[[#This Row],[Столбец1]]="",Таблица26[[#This Row],[Столбец5]]="",Таблица26[[#This Row],[Столбец5]]="отсутствует"),"",VLOOKUP(A51,'Р 4. Показатели_индикаторы'!$A$9:$J$103,7,FALSE))</f>
        <v/>
      </c>
      <c r="N51" s="6" t="str">
        <f>IF(OR(Таблица26[[#This Row],[Столбец1]]="",Таблица26[[#This Row],[Столбец5]]="",Таблица26[[#This Row],[Столбец5]]="отсутствует"),"",VLOOKUP(A51,'Р 4. Показатели_индикаторы'!$A$9:$J$103,8,FALSE))</f>
        <v/>
      </c>
      <c r="O51" s="10" t="str">
        <f>IF(VLOOKUP(A51,'Р 1. "Общие сведения"'!$I$8:$L$179,4,FALSE)="","",VLOOKUP(A51,'Р 1. "Общие сведения"'!$I$8:$L$179,4,FALSE))</f>
        <v/>
      </c>
    </row>
    <row r="52" spans="1:15" x14ac:dyDescent="0.25">
      <c r="A52" s="48" t="str">
        <f>IF('Р 1. "Общие сведения"'!I52="","",'Р 1. "Общие сведения"'!I52)</f>
        <v xml:space="preserve"> </v>
      </c>
      <c r="B52" s="44" t="str">
        <f>IF('Р 1. "Общие сведения"'!J52="","",'Р 1. "Общие сведения"'!J52)</f>
        <v/>
      </c>
      <c r="C52" s="44" t="str">
        <f>IF('Р 1. "Общие сведения"'!H52="","",'Р 1. "Общие сведения"'!H52)</f>
        <v/>
      </c>
      <c r="D52" s="44" t="str">
        <f>IF('Р 1. "Общие сведения"'!D52="","",'Р 1. "Общие сведения"'!D52)</f>
        <v/>
      </c>
      <c r="E52" s="44" t="str">
        <f>IF('Р 1. "Общие сведения"'!K52="","",'Р 1. "Общие сведения"'!K52)</f>
        <v/>
      </c>
      <c r="F52" s="45" t="str">
        <f>IF(OR(Таблица26[[#This Row],[Столбец1]]="",Таблица26[[#This Row],[Столбец5]]="",),"",VLOOKUP(A52,Таблица9[#All],2,FALSE))</f>
        <v/>
      </c>
      <c r="G52" s="47" t="str">
        <f>IF(OR(Таблица26[[#This Row],[Столбец1]]="",Таблица26[[#This Row],[Столбец5]]=""),"",VLOOKUP(A52,'Р 5. Финансирование'!$A$9:$D$100,3,FALSE))</f>
        <v/>
      </c>
      <c r="H52" s="47" t="str">
        <f>IF(OR(Таблица26[[#This Row],[Столбец1]]="",Таблица26[[#This Row],[Столбец5]]=""),"",VLOOKUP(A52,'Р 5. Финансирование'!$A$9:$D$100,4,FALSE))</f>
        <v/>
      </c>
      <c r="I52" s="6" t="str">
        <f>IF(OR(Таблица26[[#This Row],[Столбец5]]="отсутствует",Таблица26[[#This Row],[Столбец5]]=""),"",VLOOKUP(A52,'Р 4. Показатели_индикаторы'!$A$9:$J$103,3,FALSE))</f>
        <v/>
      </c>
      <c r="J52" s="6" t="str">
        <f>IF(OR(Таблица26[[#This Row],[Столбец5]]="отсутствует",Таблица26[[#This Row],[Столбец5]]=""),"",VLOOKUP(A52,'Р 4. Показатели_индикаторы'!$A$9:$J$103,4,FALSE))</f>
        <v/>
      </c>
      <c r="K52" s="6" t="str">
        <f>IF(OR(Таблица26[[#This Row],[Столбец1]]="",Таблица26[[#This Row],[Столбец5]]="",Таблица26[[#This Row],[Столбец5]]="отсутствует"),"",VLOOKUP(A52,'Р 4. Показатели_индикаторы'!$A$9:$J$103,5,FALSE))</f>
        <v/>
      </c>
      <c r="L52" s="6" t="str">
        <f>IF(OR(Таблица26[[#This Row],[Столбец1]]="",Таблица26[[#This Row],[Столбец5]]="",Таблица26[[#This Row],[Столбец5]]="отсутствует"),"",VLOOKUP(A52,'Р 4. Показатели_индикаторы'!$A$9:$J$103,6,FALSE))</f>
        <v/>
      </c>
      <c r="M52" s="6" t="str">
        <f>IF(OR(Таблица26[[#This Row],[Столбец1]]="",Таблица26[[#This Row],[Столбец5]]="",Таблица26[[#This Row],[Столбец5]]="отсутствует"),"",VLOOKUP(A52,'Р 4. Показатели_индикаторы'!$A$9:$J$103,7,FALSE))</f>
        <v/>
      </c>
      <c r="N52" s="6" t="str">
        <f>IF(OR(Таблица26[[#This Row],[Столбец1]]="",Таблица26[[#This Row],[Столбец5]]="",Таблица26[[#This Row],[Столбец5]]="отсутствует"),"",VLOOKUP(A52,'Р 4. Показатели_индикаторы'!$A$9:$J$103,8,FALSE))</f>
        <v/>
      </c>
      <c r="O52" s="10" t="str">
        <f>IF(VLOOKUP(A52,'Р 1. "Общие сведения"'!$I$8:$L$179,4,FALSE)="","",VLOOKUP(A52,'Р 1. "Общие сведения"'!$I$8:$L$179,4,FALSE))</f>
        <v/>
      </c>
    </row>
    <row r="53" spans="1:15" x14ac:dyDescent="0.25">
      <c r="A53" s="48" t="str">
        <f>IF('Р 1. "Общие сведения"'!I53="","",'Р 1. "Общие сведения"'!I53)</f>
        <v xml:space="preserve"> </v>
      </c>
      <c r="B53" s="44" t="str">
        <f>IF('Р 1. "Общие сведения"'!J53="","",'Р 1. "Общие сведения"'!J53)</f>
        <v/>
      </c>
      <c r="C53" s="44" t="str">
        <f>IF('Р 1. "Общие сведения"'!H53="","",'Р 1. "Общие сведения"'!H53)</f>
        <v/>
      </c>
      <c r="D53" s="44" t="str">
        <f>IF('Р 1. "Общие сведения"'!D53="","",'Р 1. "Общие сведения"'!D53)</f>
        <v/>
      </c>
      <c r="E53" s="44" t="str">
        <f>IF('Р 1. "Общие сведения"'!K53="","",'Р 1. "Общие сведения"'!K53)</f>
        <v/>
      </c>
      <c r="F53" s="45" t="str">
        <f>IF(OR(Таблица26[[#This Row],[Столбец1]]="",Таблица26[[#This Row],[Столбец5]]="",),"",VLOOKUP(A53,Таблица9[#All],2,FALSE))</f>
        <v/>
      </c>
      <c r="G53" s="47" t="str">
        <f>IF(OR(Таблица26[[#This Row],[Столбец1]]="",Таблица26[[#This Row],[Столбец5]]=""),"",VLOOKUP(A53,'Р 5. Финансирование'!$A$9:$D$100,3,FALSE))</f>
        <v/>
      </c>
      <c r="H53" s="47" t="str">
        <f>IF(OR(Таблица26[[#This Row],[Столбец1]]="",Таблица26[[#This Row],[Столбец5]]=""),"",VLOOKUP(A53,'Р 5. Финансирование'!$A$9:$D$100,4,FALSE))</f>
        <v/>
      </c>
      <c r="I53" s="6" t="str">
        <f>IF(OR(Таблица26[[#This Row],[Столбец5]]="отсутствует",Таблица26[[#This Row],[Столбец5]]=""),"",VLOOKUP(A53,'Р 4. Показатели_индикаторы'!$A$9:$J$103,3,FALSE))</f>
        <v/>
      </c>
      <c r="J53" s="6" t="str">
        <f>IF(OR(Таблица26[[#This Row],[Столбец5]]="отсутствует",Таблица26[[#This Row],[Столбец5]]=""),"",VLOOKUP(A53,'Р 4. Показатели_индикаторы'!$A$9:$J$103,4,FALSE))</f>
        <v/>
      </c>
      <c r="K53" s="6" t="str">
        <f>IF(OR(Таблица26[[#This Row],[Столбец1]]="",Таблица26[[#This Row],[Столбец5]]="",Таблица26[[#This Row],[Столбец5]]="отсутствует"),"",VLOOKUP(A53,'Р 4. Показатели_индикаторы'!$A$9:$J$103,5,FALSE))</f>
        <v/>
      </c>
      <c r="L53" s="6" t="str">
        <f>IF(OR(Таблица26[[#This Row],[Столбец1]]="",Таблица26[[#This Row],[Столбец5]]="",Таблица26[[#This Row],[Столбец5]]="отсутствует"),"",VLOOKUP(A53,'Р 4. Показатели_индикаторы'!$A$9:$J$103,6,FALSE))</f>
        <v/>
      </c>
      <c r="M53" s="6" t="str">
        <f>IF(OR(Таблица26[[#This Row],[Столбец1]]="",Таблица26[[#This Row],[Столбец5]]="",Таблица26[[#This Row],[Столбец5]]="отсутствует"),"",VLOOKUP(A53,'Р 4. Показатели_индикаторы'!$A$9:$J$103,7,FALSE))</f>
        <v/>
      </c>
      <c r="N53" s="6" t="str">
        <f>IF(OR(Таблица26[[#This Row],[Столбец1]]="",Таблица26[[#This Row],[Столбец5]]="",Таблица26[[#This Row],[Столбец5]]="отсутствует"),"",VLOOKUP(A53,'Р 4. Показатели_индикаторы'!$A$9:$J$103,8,FALSE))</f>
        <v/>
      </c>
      <c r="O53" s="10" t="str">
        <f>IF(VLOOKUP(A53,'Р 1. "Общие сведения"'!$I$8:$L$179,4,FALSE)="","",VLOOKUP(A53,'Р 1. "Общие сведения"'!$I$8:$L$179,4,FALSE))</f>
        <v/>
      </c>
    </row>
    <row r="54" spans="1:15" x14ac:dyDescent="0.25">
      <c r="A54" s="48" t="str">
        <f>IF('Р 1. "Общие сведения"'!I54="","",'Р 1. "Общие сведения"'!I54)</f>
        <v xml:space="preserve"> </v>
      </c>
      <c r="B54" s="44" t="str">
        <f>IF('Р 1. "Общие сведения"'!J54="","",'Р 1. "Общие сведения"'!J54)</f>
        <v/>
      </c>
      <c r="C54" s="44" t="str">
        <f>IF('Р 1. "Общие сведения"'!H54="","",'Р 1. "Общие сведения"'!H54)</f>
        <v/>
      </c>
      <c r="D54" s="44" t="str">
        <f>IF('Р 1. "Общие сведения"'!D54="","",'Р 1. "Общие сведения"'!D54)</f>
        <v/>
      </c>
      <c r="E54" s="44" t="str">
        <f>IF('Р 1. "Общие сведения"'!K54="","",'Р 1. "Общие сведения"'!K54)</f>
        <v/>
      </c>
      <c r="F54" s="45" t="str">
        <f>IF(OR(Таблица26[[#This Row],[Столбец1]]="",Таблица26[[#This Row],[Столбец5]]="",),"",VLOOKUP(A54,Таблица9[#All],2,FALSE))</f>
        <v/>
      </c>
      <c r="G54" s="47" t="str">
        <f>IF(OR(Таблица26[[#This Row],[Столбец1]]="",Таблица26[[#This Row],[Столбец5]]=""),"",VLOOKUP(A54,'Р 5. Финансирование'!$A$9:$D$100,3,FALSE))</f>
        <v/>
      </c>
      <c r="H54" s="47" t="str">
        <f>IF(OR(Таблица26[[#This Row],[Столбец1]]="",Таблица26[[#This Row],[Столбец5]]=""),"",VLOOKUP(A54,'Р 5. Финансирование'!$A$9:$D$100,4,FALSE))</f>
        <v/>
      </c>
      <c r="I54" s="6" t="str">
        <f>IF(OR(Таблица26[[#This Row],[Столбец5]]="отсутствует",Таблица26[[#This Row],[Столбец5]]=""),"",VLOOKUP(A54,'Р 4. Показатели_индикаторы'!$A$9:$J$103,3,FALSE))</f>
        <v/>
      </c>
      <c r="J54" s="6" t="str">
        <f>IF(OR(Таблица26[[#This Row],[Столбец5]]="отсутствует",Таблица26[[#This Row],[Столбец5]]=""),"",VLOOKUP(A54,'Р 4. Показатели_индикаторы'!$A$9:$J$103,4,FALSE))</f>
        <v/>
      </c>
      <c r="K54" s="6" t="str">
        <f>IF(OR(Таблица26[[#This Row],[Столбец1]]="",Таблица26[[#This Row],[Столбец5]]="",Таблица26[[#This Row],[Столбец5]]="отсутствует"),"",VLOOKUP(A54,'Р 4. Показатели_индикаторы'!$A$9:$J$103,5,FALSE))</f>
        <v/>
      </c>
      <c r="L54" s="6" t="str">
        <f>IF(OR(Таблица26[[#This Row],[Столбец1]]="",Таблица26[[#This Row],[Столбец5]]="",Таблица26[[#This Row],[Столбец5]]="отсутствует"),"",VLOOKUP(A54,'Р 4. Показатели_индикаторы'!$A$9:$J$103,6,FALSE))</f>
        <v/>
      </c>
      <c r="M54" s="6" t="str">
        <f>IF(OR(Таблица26[[#This Row],[Столбец1]]="",Таблица26[[#This Row],[Столбец5]]="",Таблица26[[#This Row],[Столбец5]]="отсутствует"),"",VLOOKUP(A54,'Р 4. Показатели_индикаторы'!$A$9:$J$103,7,FALSE))</f>
        <v/>
      </c>
      <c r="N54" s="6" t="str">
        <f>IF(OR(Таблица26[[#This Row],[Столбец1]]="",Таблица26[[#This Row],[Столбец5]]="",Таблица26[[#This Row],[Столбец5]]="отсутствует"),"",VLOOKUP(A54,'Р 4. Показатели_индикаторы'!$A$9:$J$103,8,FALSE))</f>
        <v/>
      </c>
      <c r="O54" s="10" t="str">
        <f>IF(VLOOKUP(A54,'Р 1. "Общие сведения"'!$I$8:$L$179,4,FALSE)="","",VLOOKUP(A54,'Р 1. "Общие сведения"'!$I$8:$L$179,4,FALSE))</f>
        <v/>
      </c>
    </row>
    <row r="55" spans="1:15" x14ac:dyDescent="0.25">
      <c r="A55" s="48" t="str">
        <f>IF('Р 1. "Общие сведения"'!I55="","",'Р 1. "Общие сведения"'!I55)</f>
        <v xml:space="preserve"> </v>
      </c>
      <c r="B55" s="44" t="str">
        <f>IF('Р 1. "Общие сведения"'!J55="","",'Р 1. "Общие сведения"'!J55)</f>
        <v/>
      </c>
      <c r="C55" s="44" t="str">
        <f>IF('Р 1. "Общие сведения"'!H55="","",'Р 1. "Общие сведения"'!H55)</f>
        <v/>
      </c>
      <c r="D55" s="44" t="str">
        <f>IF('Р 1. "Общие сведения"'!D55="","",'Р 1. "Общие сведения"'!D55)</f>
        <v/>
      </c>
      <c r="E55" s="44" t="str">
        <f>IF('Р 1. "Общие сведения"'!K55="","",'Р 1. "Общие сведения"'!K55)</f>
        <v/>
      </c>
      <c r="F55" s="45" t="str">
        <f>IF(OR(Таблица26[[#This Row],[Столбец1]]="",Таблица26[[#This Row],[Столбец5]]="",),"",VLOOKUP(A55,Таблица9[#All],2,FALSE))</f>
        <v/>
      </c>
      <c r="G55" s="47" t="str">
        <f>IF(OR(Таблица26[[#This Row],[Столбец1]]="",Таблица26[[#This Row],[Столбец5]]=""),"",VLOOKUP(A55,'Р 5. Финансирование'!$A$9:$D$100,3,FALSE))</f>
        <v/>
      </c>
      <c r="H55" s="47" t="str">
        <f>IF(OR(Таблица26[[#This Row],[Столбец1]]="",Таблица26[[#This Row],[Столбец5]]=""),"",VLOOKUP(A55,'Р 5. Финансирование'!$A$9:$D$100,4,FALSE))</f>
        <v/>
      </c>
      <c r="I55" s="6" t="str">
        <f>IF(OR(Таблица26[[#This Row],[Столбец5]]="отсутствует",Таблица26[[#This Row],[Столбец5]]=""),"",VLOOKUP(A55,'Р 4. Показатели_индикаторы'!$A$9:$J$103,3,FALSE))</f>
        <v/>
      </c>
      <c r="J55" s="6" t="str">
        <f>IF(OR(Таблица26[[#This Row],[Столбец5]]="отсутствует",Таблица26[[#This Row],[Столбец5]]=""),"",VLOOKUP(A55,'Р 4. Показатели_индикаторы'!$A$9:$J$103,4,FALSE))</f>
        <v/>
      </c>
      <c r="K55" s="6" t="str">
        <f>IF(OR(Таблица26[[#This Row],[Столбец1]]="",Таблица26[[#This Row],[Столбец5]]="",Таблица26[[#This Row],[Столбец5]]="отсутствует"),"",VLOOKUP(A55,'Р 4. Показатели_индикаторы'!$A$9:$J$103,5,FALSE))</f>
        <v/>
      </c>
      <c r="L55" s="6" t="str">
        <f>IF(OR(Таблица26[[#This Row],[Столбец1]]="",Таблица26[[#This Row],[Столбец5]]="",Таблица26[[#This Row],[Столбец5]]="отсутствует"),"",VLOOKUP(A55,'Р 4. Показатели_индикаторы'!$A$9:$J$103,6,FALSE))</f>
        <v/>
      </c>
      <c r="M55" s="6" t="str">
        <f>IF(OR(Таблица26[[#This Row],[Столбец1]]="",Таблица26[[#This Row],[Столбец5]]="",Таблица26[[#This Row],[Столбец5]]="отсутствует"),"",VLOOKUP(A55,'Р 4. Показатели_индикаторы'!$A$9:$J$103,7,FALSE))</f>
        <v/>
      </c>
      <c r="N55" s="6" t="str">
        <f>IF(OR(Таблица26[[#This Row],[Столбец1]]="",Таблица26[[#This Row],[Столбец5]]="",Таблица26[[#This Row],[Столбец5]]="отсутствует"),"",VLOOKUP(A55,'Р 4. Показатели_индикаторы'!$A$9:$J$103,8,FALSE))</f>
        <v/>
      </c>
      <c r="O55" s="10" t="str">
        <f>IF(VLOOKUP(A55,'Р 1. "Общие сведения"'!$I$8:$L$179,4,FALSE)="","",VLOOKUP(A55,'Р 1. "Общие сведения"'!$I$8:$L$179,4,FALSE))</f>
        <v/>
      </c>
    </row>
    <row r="56" spans="1:15" x14ac:dyDescent="0.25">
      <c r="A56" s="48" t="str">
        <f>IF('Р 1. "Общие сведения"'!I56="","",'Р 1. "Общие сведения"'!I56)</f>
        <v xml:space="preserve"> </v>
      </c>
      <c r="B56" s="44" t="str">
        <f>IF('Р 1. "Общие сведения"'!J56="","",'Р 1. "Общие сведения"'!J56)</f>
        <v/>
      </c>
      <c r="C56" s="44" t="str">
        <f>IF('Р 1. "Общие сведения"'!H56="","",'Р 1. "Общие сведения"'!H56)</f>
        <v/>
      </c>
      <c r="D56" s="44" t="str">
        <f>IF('Р 1. "Общие сведения"'!D56="","",'Р 1. "Общие сведения"'!D56)</f>
        <v/>
      </c>
      <c r="E56" s="44" t="str">
        <f>IF('Р 1. "Общие сведения"'!K56="","",'Р 1. "Общие сведения"'!K56)</f>
        <v/>
      </c>
      <c r="F56" s="45" t="str">
        <f>IF(OR(Таблица26[[#This Row],[Столбец1]]="",Таблица26[[#This Row],[Столбец5]]="",),"",VLOOKUP(A56,Таблица9[#All],2,FALSE))</f>
        <v/>
      </c>
      <c r="G56" s="47" t="str">
        <f>IF(OR(Таблица26[[#This Row],[Столбец1]]="",Таблица26[[#This Row],[Столбец5]]=""),"",VLOOKUP(A56,'Р 5. Финансирование'!$A$9:$D$100,3,FALSE))</f>
        <v/>
      </c>
      <c r="H56" s="47" t="str">
        <f>IF(OR(Таблица26[[#This Row],[Столбец1]]="",Таблица26[[#This Row],[Столбец5]]=""),"",VLOOKUP(A56,'Р 5. Финансирование'!$A$9:$D$100,4,FALSE))</f>
        <v/>
      </c>
      <c r="I56" s="6" t="str">
        <f>IF(OR(Таблица26[[#This Row],[Столбец5]]="отсутствует",Таблица26[[#This Row],[Столбец5]]=""),"",VLOOKUP(A56,'Р 4. Показатели_индикаторы'!$A$9:$J$103,3,FALSE))</f>
        <v/>
      </c>
      <c r="J56" s="6" t="str">
        <f>IF(OR(Таблица26[[#This Row],[Столбец5]]="отсутствует",Таблица26[[#This Row],[Столбец5]]=""),"",VLOOKUP(A56,'Р 4. Показатели_индикаторы'!$A$9:$J$103,4,FALSE))</f>
        <v/>
      </c>
      <c r="K56" s="6" t="str">
        <f>IF(OR(Таблица26[[#This Row],[Столбец1]]="",Таблица26[[#This Row],[Столбец5]]="",Таблица26[[#This Row],[Столбец5]]="отсутствует"),"",VLOOKUP(A56,'Р 4. Показатели_индикаторы'!$A$9:$J$103,5,FALSE))</f>
        <v/>
      </c>
      <c r="L56" s="6" t="str">
        <f>IF(OR(Таблица26[[#This Row],[Столбец1]]="",Таблица26[[#This Row],[Столбец5]]="",Таблица26[[#This Row],[Столбец5]]="отсутствует"),"",VLOOKUP(A56,'Р 4. Показатели_индикаторы'!$A$9:$J$103,6,FALSE))</f>
        <v/>
      </c>
      <c r="M56" s="6" t="str">
        <f>IF(OR(Таблица26[[#This Row],[Столбец1]]="",Таблица26[[#This Row],[Столбец5]]="",Таблица26[[#This Row],[Столбец5]]="отсутствует"),"",VLOOKUP(A56,'Р 4. Показатели_индикаторы'!$A$9:$J$103,7,FALSE))</f>
        <v/>
      </c>
      <c r="N56" s="6" t="str">
        <f>IF(OR(Таблица26[[#This Row],[Столбец1]]="",Таблица26[[#This Row],[Столбец5]]="",Таблица26[[#This Row],[Столбец5]]="отсутствует"),"",VLOOKUP(A56,'Р 4. Показатели_индикаторы'!$A$9:$J$103,8,FALSE))</f>
        <v/>
      </c>
      <c r="O56" s="10" t="str">
        <f>IF(VLOOKUP(A56,'Р 1. "Общие сведения"'!$I$8:$L$179,4,FALSE)="","",VLOOKUP(A56,'Р 1. "Общие сведения"'!$I$8:$L$179,4,FALSE))</f>
        <v/>
      </c>
    </row>
    <row r="57" spans="1:15" x14ac:dyDescent="0.25">
      <c r="A57" s="48" t="str">
        <f>IF('Р 1. "Общие сведения"'!I57="","",'Р 1. "Общие сведения"'!I57)</f>
        <v xml:space="preserve"> </v>
      </c>
      <c r="B57" s="44" t="str">
        <f>IF('Р 1. "Общие сведения"'!J57="","",'Р 1. "Общие сведения"'!J57)</f>
        <v/>
      </c>
      <c r="C57" s="44" t="str">
        <f>IF('Р 1. "Общие сведения"'!H57="","",'Р 1. "Общие сведения"'!H57)</f>
        <v/>
      </c>
      <c r="D57" s="44" t="str">
        <f>IF('Р 1. "Общие сведения"'!D57="","",'Р 1. "Общие сведения"'!D57)</f>
        <v/>
      </c>
      <c r="E57" s="44" t="str">
        <f>IF('Р 1. "Общие сведения"'!K57="","",'Р 1. "Общие сведения"'!K57)</f>
        <v/>
      </c>
      <c r="F57" s="45" t="str">
        <f>IF(OR(Таблица26[[#This Row],[Столбец1]]="",Таблица26[[#This Row],[Столбец5]]="",),"",VLOOKUP(A57,Таблица9[#All],2,FALSE))</f>
        <v/>
      </c>
      <c r="G57" s="47" t="str">
        <f>IF(OR(Таблица26[[#This Row],[Столбец1]]="",Таблица26[[#This Row],[Столбец5]]=""),"",VLOOKUP(A57,'Р 5. Финансирование'!$A$9:$D$100,3,FALSE))</f>
        <v/>
      </c>
      <c r="H57" s="47" t="str">
        <f>IF(OR(Таблица26[[#This Row],[Столбец1]]="",Таблица26[[#This Row],[Столбец5]]=""),"",VLOOKUP(A57,'Р 5. Финансирование'!$A$9:$D$100,4,FALSE))</f>
        <v/>
      </c>
      <c r="I57" s="6" t="str">
        <f>IF(OR(Таблица26[[#This Row],[Столбец5]]="отсутствует",Таблица26[[#This Row],[Столбец5]]=""),"",VLOOKUP(A57,'Р 4. Показатели_индикаторы'!$A$9:$J$103,3,FALSE))</f>
        <v/>
      </c>
      <c r="J57" s="6" t="str">
        <f>IF(OR(Таблица26[[#This Row],[Столбец5]]="отсутствует",Таблица26[[#This Row],[Столбец5]]=""),"",VLOOKUP(A57,'Р 4. Показатели_индикаторы'!$A$9:$J$103,4,FALSE))</f>
        <v/>
      </c>
      <c r="K57" s="6" t="str">
        <f>IF(OR(Таблица26[[#This Row],[Столбец1]]="",Таблица26[[#This Row],[Столбец5]]="",Таблица26[[#This Row],[Столбец5]]="отсутствует"),"",VLOOKUP(A57,'Р 4. Показатели_индикаторы'!$A$9:$J$103,5,FALSE))</f>
        <v/>
      </c>
      <c r="L57" s="6" t="str">
        <f>IF(OR(Таблица26[[#This Row],[Столбец1]]="",Таблица26[[#This Row],[Столбец5]]="",Таблица26[[#This Row],[Столбец5]]="отсутствует"),"",VLOOKUP(A57,'Р 4. Показатели_индикаторы'!$A$9:$J$103,6,FALSE))</f>
        <v/>
      </c>
      <c r="M57" s="6" t="str">
        <f>IF(OR(Таблица26[[#This Row],[Столбец1]]="",Таблица26[[#This Row],[Столбец5]]="",Таблица26[[#This Row],[Столбец5]]="отсутствует"),"",VLOOKUP(A57,'Р 4. Показатели_индикаторы'!$A$9:$J$103,7,FALSE))</f>
        <v/>
      </c>
      <c r="N57" s="6" t="str">
        <f>IF(OR(Таблица26[[#This Row],[Столбец1]]="",Таблица26[[#This Row],[Столбец5]]="",Таблица26[[#This Row],[Столбец5]]="отсутствует"),"",VLOOKUP(A57,'Р 4. Показатели_индикаторы'!$A$9:$J$103,8,FALSE))</f>
        <v/>
      </c>
      <c r="O57" s="10" t="str">
        <f>IF(VLOOKUP(A57,'Р 1. "Общие сведения"'!$I$8:$L$179,4,FALSE)="","",VLOOKUP(A57,'Р 1. "Общие сведения"'!$I$8:$L$179,4,FALSE))</f>
        <v/>
      </c>
    </row>
    <row r="58" spans="1:15" x14ac:dyDescent="0.25">
      <c r="A58" s="48" t="str">
        <f>IF('Р 1. "Общие сведения"'!I58="","",'Р 1. "Общие сведения"'!I58)</f>
        <v xml:space="preserve"> </v>
      </c>
      <c r="B58" s="44" t="str">
        <f>IF('Р 1. "Общие сведения"'!J58="","",'Р 1. "Общие сведения"'!J58)</f>
        <v/>
      </c>
      <c r="C58" s="44" t="str">
        <f>IF('Р 1. "Общие сведения"'!H58="","",'Р 1. "Общие сведения"'!H58)</f>
        <v/>
      </c>
      <c r="D58" s="44" t="str">
        <f>IF('Р 1. "Общие сведения"'!D58="","",'Р 1. "Общие сведения"'!D58)</f>
        <v/>
      </c>
      <c r="E58" s="44" t="str">
        <f>IF('Р 1. "Общие сведения"'!K58="","",'Р 1. "Общие сведения"'!K58)</f>
        <v/>
      </c>
      <c r="F58" s="45" t="str">
        <f>IF(OR(Таблица26[[#This Row],[Столбец1]]="",Таблица26[[#This Row],[Столбец5]]="",),"",VLOOKUP(A58,Таблица9[#All],2,FALSE))</f>
        <v/>
      </c>
      <c r="G58" s="47" t="str">
        <f>IF(OR(Таблица26[[#This Row],[Столбец1]]="",Таблица26[[#This Row],[Столбец5]]=""),"",VLOOKUP(A58,'Р 5. Финансирование'!$A$9:$D$100,3,FALSE))</f>
        <v/>
      </c>
      <c r="H58" s="47" t="str">
        <f>IF(OR(Таблица26[[#This Row],[Столбец1]]="",Таблица26[[#This Row],[Столбец5]]=""),"",VLOOKUP(A58,'Р 5. Финансирование'!$A$9:$D$100,4,FALSE))</f>
        <v/>
      </c>
      <c r="I58" s="6" t="str">
        <f>IF(OR(Таблица26[[#This Row],[Столбец5]]="отсутствует",Таблица26[[#This Row],[Столбец5]]=""),"",VLOOKUP(A58,'Р 4. Показатели_индикаторы'!$A$9:$J$103,3,FALSE))</f>
        <v/>
      </c>
      <c r="J58" s="6" t="str">
        <f>IF(OR(Таблица26[[#This Row],[Столбец5]]="отсутствует",Таблица26[[#This Row],[Столбец5]]=""),"",VLOOKUP(A58,'Р 4. Показатели_индикаторы'!$A$9:$J$103,4,FALSE))</f>
        <v/>
      </c>
      <c r="K58" s="6" t="str">
        <f>IF(OR(Таблица26[[#This Row],[Столбец1]]="",Таблица26[[#This Row],[Столбец5]]="",Таблица26[[#This Row],[Столбец5]]="отсутствует"),"",VLOOKUP(A58,'Р 4. Показатели_индикаторы'!$A$9:$J$103,5,FALSE))</f>
        <v/>
      </c>
      <c r="L58" s="6" t="str">
        <f>IF(OR(Таблица26[[#This Row],[Столбец1]]="",Таблица26[[#This Row],[Столбец5]]="",Таблица26[[#This Row],[Столбец5]]="отсутствует"),"",VLOOKUP(A58,'Р 4. Показатели_индикаторы'!$A$9:$J$103,6,FALSE))</f>
        <v/>
      </c>
      <c r="M58" s="6" t="str">
        <f>IF(OR(Таблица26[[#This Row],[Столбец1]]="",Таблица26[[#This Row],[Столбец5]]="",Таблица26[[#This Row],[Столбец5]]="отсутствует"),"",VLOOKUP(A58,'Р 4. Показатели_индикаторы'!$A$9:$J$103,7,FALSE))</f>
        <v/>
      </c>
      <c r="N58" s="6" t="str">
        <f>IF(OR(Таблица26[[#This Row],[Столбец1]]="",Таблица26[[#This Row],[Столбец5]]="",Таблица26[[#This Row],[Столбец5]]="отсутствует"),"",VLOOKUP(A58,'Р 4. Показатели_индикаторы'!$A$9:$J$103,8,FALSE))</f>
        <v/>
      </c>
      <c r="O58" s="10" t="str">
        <f>IF(VLOOKUP(A58,'Р 1. "Общие сведения"'!$I$8:$L$179,4,FALSE)="","",VLOOKUP(A58,'Р 1. "Общие сведения"'!$I$8:$L$179,4,FALSE))</f>
        <v/>
      </c>
    </row>
    <row r="59" spans="1:15" x14ac:dyDescent="0.25">
      <c r="A59" s="48" t="str">
        <f>IF('Р 1. "Общие сведения"'!I59="","",'Р 1. "Общие сведения"'!I59)</f>
        <v xml:space="preserve"> </v>
      </c>
      <c r="B59" s="44" t="str">
        <f>IF('Р 1. "Общие сведения"'!J59="","",'Р 1. "Общие сведения"'!J59)</f>
        <v/>
      </c>
      <c r="C59" s="44" t="str">
        <f>IF('Р 1. "Общие сведения"'!H59="","",'Р 1. "Общие сведения"'!H59)</f>
        <v/>
      </c>
      <c r="D59" s="44" t="str">
        <f>IF('Р 1. "Общие сведения"'!D59="","",'Р 1. "Общие сведения"'!D59)</f>
        <v/>
      </c>
      <c r="E59" s="44" t="str">
        <f>IF('Р 1. "Общие сведения"'!K59="","",'Р 1. "Общие сведения"'!K59)</f>
        <v/>
      </c>
      <c r="F59" s="45" t="str">
        <f>IF(OR(Таблица26[[#This Row],[Столбец1]]="",Таблица26[[#This Row],[Столбец5]]="",),"",VLOOKUP(A59,Таблица9[#All],2,FALSE))</f>
        <v/>
      </c>
      <c r="G59" s="47" t="str">
        <f>IF(OR(Таблица26[[#This Row],[Столбец1]]="",Таблица26[[#This Row],[Столбец5]]=""),"",VLOOKUP(A59,'Р 5. Финансирование'!$A$9:$D$100,3,FALSE))</f>
        <v/>
      </c>
      <c r="H59" s="47" t="str">
        <f>IF(OR(Таблица26[[#This Row],[Столбец1]]="",Таблица26[[#This Row],[Столбец5]]=""),"",VLOOKUP(A59,'Р 5. Финансирование'!$A$9:$D$100,4,FALSE))</f>
        <v/>
      </c>
      <c r="I59" s="6" t="str">
        <f>IF(OR(Таблица26[[#This Row],[Столбец5]]="отсутствует",Таблица26[[#This Row],[Столбец5]]=""),"",VLOOKUP(A59,'Р 4. Показатели_индикаторы'!$A$9:$J$103,3,FALSE))</f>
        <v/>
      </c>
      <c r="J59" s="6" t="str">
        <f>IF(OR(Таблица26[[#This Row],[Столбец5]]="отсутствует",Таблица26[[#This Row],[Столбец5]]=""),"",VLOOKUP(A59,'Р 4. Показатели_индикаторы'!$A$9:$J$103,4,FALSE))</f>
        <v/>
      </c>
      <c r="K59" s="6" t="str">
        <f>IF(OR(Таблица26[[#This Row],[Столбец1]]="",Таблица26[[#This Row],[Столбец5]]="",Таблица26[[#This Row],[Столбец5]]="отсутствует"),"",VLOOKUP(A59,'Р 4. Показатели_индикаторы'!$A$9:$J$103,5,FALSE))</f>
        <v/>
      </c>
      <c r="L59" s="6" t="str">
        <f>IF(OR(Таблица26[[#This Row],[Столбец1]]="",Таблица26[[#This Row],[Столбец5]]="",Таблица26[[#This Row],[Столбец5]]="отсутствует"),"",VLOOKUP(A59,'Р 4. Показатели_индикаторы'!$A$9:$J$103,6,FALSE))</f>
        <v/>
      </c>
      <c r="M59" s="6" t="str">
        <f>IF(OR(Таблица26[[#This Row],[Столбец1]]="",Таблица26[[#This Row],[Столбец5]]="",Таблица26[[#This Row],[Столбец5]]="отсутствует"),"",VLOOKUP(A59,'Р 4. Показатели_индикаторы'!$A$9:$J$103,7,FALSE))</f>
        <v/>
      </c>
      <c r="N59" s="6" t="str">
        <f>IF(OR(Таблица26[[#This Row],[Столбец1]]="",Таблица26[[#This Row],[Столбец5]]="",Таблица26[[#This Row],[Столбец5]]="отсутствует"),"",VLOOKUP(A59,'Р 4. Показатели_индикаторы'!$A$9:$J$103,8,FALSE))</f>
        <v/>
      </c>
      <c r="O59" s="10" t="str">
        <f>IF(VLOOKUP(A59,'Р 1. "Общие сведения"'!$I$8:$L$179,4,FALSE)="","",VLOOKUP(A59,'Р 1. "Общие сведения"'!$I$8:$L$179,4,FALSE))</f>
        <v/>
      </c>
    </row>
    <row r="60" spans="1:15" x14ac:dyDescent="0.25">
      <c r="A60" s="48" t="str">
        <f>IF('Р 1. "Общие сведения"'!I60="","",'Р 1. "Общие сведения"'!I60)</f>
        <v xml:space="preserve"> </v>
      </c>
      <c r="B60" s="44" t="str">
        <f>IF('Р 1. "Общие сведения"'!J60="","",'Р 1. "Общие сведения"'!J60)</f>
        <v/>
      </c>
      <c r="C60" s="44" t="str">
        <f>IF('Р 1. "Общие сведения"'!H60="","",'Р 1. "Общие сведения"'!H60)</f>
        <v/>
      </c>
      <c r="D60" s="44" t="str">
        <f>IF('Р 1. "Общие сведения"'!D60="","",'Р 1. "Общие сведения"'!D60)</f>
        <v/>
      </c>
      <c r="E60" s="44" t="str">
        <f>IF('Р 1. "Общие сведения"'!K60="","",'Р 1. "Общие сведения"'!K60)</f>
        <v/>
      </c>
      <c r="F60" s="45" t="str">
        <f>IF(OR(Таблица26[[#This Row],[Столбец1]]="",Таблица26[[#This Row],[Столбец5]]="",),"",VLOOKUP(A60,Таблица9[#All],2,FALSE))</f>
        <v/>
      </c>
      <c r="G60" s="47" t="str">
        <f>IF(OR(Таблица26[[#This Row],[Столбец1]]="",Таблица26[[#This Row],[Столбец5]]=""),"",VLOOKUP(A60,'Р 5. Финансирование'!$A$9:$D$100,3,FALSE))</f>
        <v/>
      </c>
      <c r="H60" s="47" t="str">
        <f>IF(OR(Таблица26[[#This Row],[Столбец1]]="",Таблица26[[#This Row],[Столбец5]]=""),"",VLOOKUP(A60,'Р 5. Финансирование'!$A$9:$D$100,4,FALSE))</f>
        <v/>
      </c>
      <c r="I60" s="6" t="str">
        <f>IF(OR(Таблица26[[#This Row],[Столбец5]]="отсутствует",Таблица26[[#This Row],[Столбец5]]=""),"",VLOOKUP(A60,'Р 4. Показатели_индикаторы'!$A$9:$J$103,3,FALSE))</f>
        <v/>
      </c>
      <c r="J60" s="6" t="str">
        <f>IF(OR(Таблица26[[#This Row],[Столбец5]]="отсутствует",Таблица26[[#This Row],[Столбец5]]=""),"",VLOOKUP(A60,'Р 4. Показатели_индикаторы'!$A$9:$J$103,4,FALSE))</f>
        <v/>
      </c>
      <c r="K60" s="6" t="str">
        <f>IF(OR(Таблица26[[#This Row],[Столбец1]]="",Таблица26[[#This Row],[Столбец5]]="",Таблица26[[#This Row],[Столбец5]]="отсутствует"),"",VLOOKUP(A60,'Р 4. Показатели_индикаторы'!$A$9:$J$103,5,FALSE))</f>
        <v/>
      </c>
      <c r="L60" s="6" t="str">
        <f>IF(OR(Таблица26[[#This Row],[Столбец1]]="",Таблица26[[#This Row],[Столбец5]]="",Таблица26[[#This Row],[Столбец5]]="отсутствует"),"",VLOOKUP(A60,'Р 4. Показатели_индикаторы'!$A$9:$J$103,6,FALSE))</f>
        <v/>
      </c>
      <c r="M60" s="6" t="str">
        <f>IF(OR(Таблица26[[#This Row],[Столбец1]]="",Таблица26[[#This Row],[Столбец5]]="",Таблица26[[#This Row],[Столбец5]]="отсутствует"),"",VLOOKUP(A60,'Р 4. Показатели_индикаторы'!$A$9:$J$103,7,FALSE))</f>
        <v/>
      </c>
      <c r="N60" s="6" t="str">
        <f>IF(OR(Таблица26[[#This Row],[Столбец1]]="",Таблица26[[#This Row],[Столбец5]]="",Таблица26[[#This Row],[Столбец5]]="отсутствует"),"",VLOOKUP(A60,'Р 4. Показатели_индикаторы'!$A$9:$J$103,8,FALSE))</f>
        <v/>
      </c>
      <c r="O60" s="10" t="str">
        <f>IF(VLOOKUP(A60,'Р 1. "Общие сведения"'!$I$8:$L$179,4,FALSE)="","",VLOOKUP(A60,'Р 1. "Общие сведения"'!$I$8:$L$179,4,FALSE))</f>
        <v/>
      </c>
    </row>
    <row r="61" spans="1:15" x14ac:dyDescent="0.25">
      <c r="A61" s="48" t="str">
        <f>IF('Р 1. "Общие сведения"'!I61="","",'Р 1. "Общие сведения"'!I61)</f>
        <v xml:space="preserve"> </v>
      </c>
      <c r="B61" s="44" t="str">
        <f>IF('Р 1. "Общие сведения"'!J61="","",'Р 1. "Общие сведения"'!J61)</f>
        <v/>
      </c>
      <c r="C61" s="44" t="str">
        <f>IF('Р 1. "Общие сведения"'!H61="","",'Р 1. "Общие сведения"'!H61)</f>
        <v/>
      </c>
      <c r="D61" s="44" t="str">
        <f>IF('Р 1. "Общие сведения"'!D61="","",'Р 1. "Общие сведения"'!D61)</f>
        <v/>
      </c>
      <c r="E61" s="44" t="str">
        <f>IF('Р 1. "Общие сведения"'!K61="","",'Р 1. "Общие сведения"'!K61)</f>
        <v/>
      </c>
      <c r="F61" s="45" t="str">
        <f>IF(OR(Таблица26[[#This Row],[Столбец1]]="",Таблица26[[#This Row],[Столбец5]]="",),"",VLOOKUP(A61,Таблица9[#All],2,FALSE))</f>
        <v/>
      </c>
      <c r="G61" s="47" t="str">
        <f>IF(OR(Таблица26[[#This Row],[Столбец1]]="",Таблица26[[#This Row],[Столбец5]]=""),"",VLOOKUP(A61,'Р 5. Финансирование'!$A$9:$D$100,3,FALSE))</f>
        <v/>
      </c>
      <c r="H61" s="47" t="str">
        <f>IF(OR(Таблица26[[#This Row],[Столбец1]]="",Таблица26[[#This Row],[Столбец5]]=""),"",VLOOKUP(A61,'Р 5. Финансирование'!$A$9:$D$100,4,FALSE))</f>
        <v/>
      </c>
      <c r="I61" s="6" t="str">
        <f>IF(OR(Таблица26[[#This Row],[Столбец5]]="отсутствует",Таблица26[[#This Row],[Столбец5]]=""),"",VLOOKUP(A61,'Р 4. Показатели_индикаторы'!$A$9:$J$103,3,FALSE))</f>
        <v/>
      </c>
      <c r="J61" s="6" t="str">
        <f>IF(OR(Таблица26[[#This Row],[Столбец5]]="отсутствует",Таблица26[[#This Row],[Столбец5]]=""),"",VLOOKUP(A61,'Р 4. Показатели_индикаторы'!$A$9:$J$103,4,FALSE))</f>
        <v/>
      </c>
      <c r="K61" s="6" t="str">
        <f>IF(OR(Таблица26[[#This Row],[Столбец1]]="",Таблица26[[#This Row],[Столбец5]]="",Таблица26[[#This Row],[Столбец5]]="отсутствует"),"",VLOOKUP(A61,'Р 4. Показатели_индикаторы'!$A$9:$J$103,5,FALSE))</f>
        <v/>
      </c>
      <c r="L61" s="6" t="str">
        <f>IF(OR(Таблица26[[#This Row],[Столбец1]]="",Таблица26[[#This Row],[Столбец5]]="",Таблица26[[#This Row],[Столбец5]]="отсутствует"),"",VLOOKUP(A61,'Р 4. Показатели_индикаторы'!$A$9:$J$103,6,FALSE))</f>
        <v/>
      </c>
      <c r="M61" s="6" t="str">
        <f>IF(OR(Таблица26[[#This Row],[Столбец1]]="",Таблица26[[#This Row],[Столбец5]]="",Таблица26[[#This Row],[Столбец5]]="отсутствует"),"",VLOOKUP(A61,'Р 4. Показатели_индикаторы'!$A$9:$J$103,7,FALSE))</f>
        <v/>
      </c>
      <c r="N61" s="6" t="str">
        <f>IF(OR(Таблица26[[#This Row],[Столбец1]]="",Таблица26[[#This Row],[Столбец5]]="",Таблица26[[#This Row],[Столбец5]]="отсутствует"),"",VLOOKUP(A61,'Р 4. Показатели_индикаторы'!$A$9:$J$103,8,FALSE))</f>
        <v/>
      </c>
      <c r="O61" s="10" t="str">
        <f>IF(VLOOKUP(A61,'Р 1. "Общие сведения"'!$I$8:$L$179,4,FALSE)="","",VLOOKUP(A61,'Р 1. "Общие сведения"'!$I$8:$L$179,4,FALSE))</f>
        <v/>
      </c>
    </row>
    <row r="62" spans="1:15" x14ac:dyDescent="0.25">
      <c r="A62" s="48" t="str">
        <f>IF('Р 1. "Общие сведения"'!I62="","",'Р 1. "Общие сведения"'!I62)</f>
        <v xml:space="preserve"> </v>
      </c>
      <c r="B62" s="44" t="str">
        <f>IF('Р 1. "Общие сведения"'!J62="","",'Р 1. "Общие сведения"'!J62)</f>
        <v/>
      </c>
      <c r="C62" s="44" t="str">
        <f>IF('Р 1. "Общие сведения"'!H62="","",'Р 1. "Общие сведения"'!H62)</f>
        <v/>
      </c>
      <c r="D62" s="44" t="str">
        <f>IF('Р 1. "Общие сведения"'!D62="","",'Р 1. "Общие сведения"'!D62)</f>
        <v/>
      </c>
      <c r="E62" s="44" t="str">
        <f>IF('Р 1. "Общие сведения"'!K62="","",'Р 1. "Общие сведения"'!K62)</f>
        <v/>
      </c>
      <c r="F62" s="45" t="str">
        <f>IF(OR(Таблица26[[#This Row],[Столбец1]]="",Таблица26[[#This Row],[Столбец5]]="",),"",VLOOKUP(A62,Таблица9[#All],2,FALSE))</f>
        <v/>
      </c>
      <c r="G62" s="47" t="str">
        <f>IF(OR(Таблица26[[#This Row],[Столбец1]]="",Таблица26[[#This Row],[Столбец5]]=""),"",VLOOKUP(A62,'Р 5. Финансирование'!$A$9:$D$100,3,FALSE))</f>
        <v/>
      </c>
      <c r="H62" s="47" t="str">
        <f>IF(OR(Таблица26[[#This Row],[Столбец1]]="",Таблица26[[#This Row],[Столбец5]]=""),"",VLOOKUP(A62,'Р 5. Финансирование'!$A$9:$D$100,4,FALSE))</f>
        <v/>
      </c>
      <c r="I62" s="6" t="str">
        <f>IF(OR(Таблица26[[#This Row],[Столбец5]]="отсутствует",Таблица26[[#This Row],[Столбец5]]=""),"",VLOOKUP(A62,'Р 4. Показатели_индикаторы'!$A$9:$J$103,3,FALSE))</f>
        <v/>
      </c>
      <c r="J62" s="6" t="str">
        <f>IF(OR(Таблица26[[#This Row],[Столбец5]]="отсутствует",Таблица26[[#This Row],[Столбец5]]=""),"",VLOOKUP(A62,'Р 4. Показатели_индикаторы'!$A$9:$J$103,4,FALSE))</f>
        <v/>
      </c>
      <c r="K62" s="6" t="str">
        <f>IF(OR(Таблица26[[#This Row],[Столбец1]]="",Таблица26[[#This Row],[Столбец5]]="",Таблица26[[#This Row],[Столбец5]]="отсутствует"),"",VLOOKUP(A62,'Р 4. Показатели_индикаторы'!$A$9:$J$103,5,FALSE))</f>
        <v/>
      </c>
      <c r="L62" s="6" t="str">
        <f>IF(OR(Таблица26[[#This Row],[Столбец1]]="",Таблица26[[#This Row],[Столбец5]]="",Таблица26[[#This Row],[Столбец5]]="отсутствует"),"",VLOOKUP(A62,'Р 4. Показатели_индикаторы'!$A$9:$J$103,6,FALSE))</f>
        <v/>
      </c>
      <c r="M62" s="6" t="str">
        <f>IF(OR(Таблица26[[#This Row],[Столбец1]]="",Таблица26[[#This Row],[Столбец5]]="",Таблица26[[#This Row],[Столбец5]]="отсутствует"),"",VLOOKUP(A62,'Р 4. Показатели_индикаторы'!$A$9:$J$103,7,FALSE))</f>
        <v/>
      </c>
      <c r="N62" s="6" t="str">
        <f>IF(OR(Таблица26[[#This Row],[Столбец1]]="",Таблица26[[#This Row],[Столбец5]]="",Таблица26[[#This Row],[Столбец5]]="отсутствует"),"",VLOOKUP(A62,'Р 4. Показатели_индикаторы'!$A$9:$J$103,8,FALSE))</f>
        <v/>
      </c>
      <c r="O62" s="10" t="str">
        <f>IF(VLOOKUP(A62,'Р 1. "Общие сведения"'!$I$8:$L$179,4,FALSE)="","",VLOOKUP(A62,'Р 1. "Общие сведения"'!$I$8:$L$179,4,FALSE))</f>
        <v/>
      </c>
    </row>
    <row r="63" spans="1:15" x14ac:dyDescent="0.25">
      <c r="A63" s="48" t="str">
        <f>IF('Р 1. "Общие сведения"'!I63="","",'Р 1. "Общие сведения"'!I63)</f>
        <v xml:space="preserve"> </v>
      </c>
      <c r="B63" s="44" t="str">
        <f>IF('Р 1. "Общие сведения"'!J63="","",'Р 1. "Общие сведения"'!J63)</f>
        <v/>
      </c>
      <c r="C63" s="44" t="str">
        <f>IF('Р 1. "Общие сведения"'!H63="","",'Р 1. "Общие сведения"'!H63)</f>
        <v/>
      </c>
      <c r="D63" s="44" t="str">
        <f>IF('Р 1. "Общие сведения"'!D63="","",'Р 1. "Общие сведения"'!D63)</f>
        <v/>
      </c>
      <c r="E63" s="44" t="str">
        <f>IF('Р 1. "Общие сведения"'!K63="","",'Р 1. "Общие сведения"'!K63)</f>
        <v/>
      </c>
      <c r="F63" s="45" t="str">
        <f>IF(OR(Таблица26[[#This Row],[Столбец1]]="",Таблица26[[#This Row],[Столбец5]]="",),"",VLOOKUP(A63,Таблица9[#All],2,FALSE))</f>
        <v/>
      </c>
      <c r="G63" s="47" t="str">
        <f>IF(OR(Таблица26[[#This Row],[Столбец1]]="",Таблица26[[#This Row],[Столбец5]]=""),"",VLOOKUP(A63,'Р 5. Финансирование'!$A$9:$D$100,3,FALSE))</f>
        <v/>
      </c>
      <c r="H63" s="47" t="str">
        <f>IF(OR(Таблица26[[#This Row],[Столбец1]]="",Таблица26[[#This Row],[Столбец5]]=""),"",VLOOKUP(A63,'Р 5. Финансирование'!$A$9:$D$100,4,FALSE))</f>
        <v/>
      </c>
      <c r="I63" s="6" t="str">
        <f>IF(OR(Таблица26[[#This Row],[Столбец5]]="отсутствует",Таблица26[[#This Row],[Столбец5]]=""),"",VLOOKUP(A63,'Р 4. Показатели_индикаторы'!$A$9:$J$103,3,FALSE))</f>
        <v/>
      </c>
      <c r="J63" s="6" t="str">
        <f>IF(OR(Таблица26[[#This Row],[Столбец5]]="отсутствует",Таблица26[[#This Row],[Столбец5]]=""),"",VLOOKUP(A63,'Р 4. Показатели_индикаторы'!$A$9:$J$103,4,FALSE))</f>
        <v/>
      </c>
      <c r="K63" s="6" t="str">
        <f>IF(OR(Таблица26[[#This Row],[Столбец1]]="",Таблица26[[#This Row],[Столбец5]]="",Таблица26[[#This Row],[Столбец5]]="отсутствует"),"",VLOOKUP(A63,'Р 4. Показатели_индикаторы'!$A$9:$J$103,5,FALSE))</f>
        <v/>
      </c>
      <c r="L63" s="6" t="str">
        <f>IF(OR(Таблица26[[#This Row],[Столбец1]]="",Таблица26[[#This Row],[Столбец5]]="",Таблица26[[#This Row],[Столбец5]]="отсутствует"),"",VLOOKUP(A63,'Р 4. Показатели_индикаторы'!$A$9:$J$103,6,FALSE))</f>
        <v/>
      </c>
      <c r="M63" s="6" t="str">
        <f>IF(OR(Таблица26[[#This Row],[Столбец1]]="",Таблица26[[#This Row],[Столбец5]]="",Таблица26[[#This Row],[Столбец5]]="отсутствует"),"",VLOOKUP(A63,'Р 4. Показатели_индикаторы'!$A$9:$J$103,7,FALSE))</f>
        <v/>
      </c>
      <c r="N63" s="6" t="str">
        <f>IF(OR(Таблица26[[#This Row],[Столбец1]]="",Таблица26[[#This Row],[Столбец5]]="",Таблица26[[#This Row],[Столбец5]]="отсутствует"),"",VLOOKUP(A63,'Р 4. Показатели_индикаторы'!$A$9:$J$103,8,FALSE))</f>
        <v/>
      </c>
      <c r="O63" s="10" t="str">
        <f>IF(VLOOKUP(A63,'Р 1. "Общие сведения"'!$I$8:$L$179,4,FALSE)="","",VLOOKUP(A63,'Р 1. "Общие сведения"'!$I$8:$L$179,4,FALSE))</f>
        <v/>
      </c>
    </row>
    <row r="64" spans="1:15" x14ac:dyDescent="0.25">
      <c r="A64" s="48" t="str">
        <f>IF('Р 1. "Общие сведения"'!I64="","",'Р 1. "Общие сведения"'!I64)</f>
        <v xml:space="preserve"> </v>
      </c>
      <c r="B64" s="44" t="str">
        <f>IF('Р 1. "Общие сведения"'!J64="","",'Р 1. "Общие сведения"'!J64)</f>
        <v/>
      </c>
      <c r="C64" s="44" t="str">
        <f>IF('Р 1. "Общие сведения"'!H64="","",'Р 1. "Общие сведения"'!H64)</f>
        <v/>
      </c>
      <c r="D64" s="44" t="str">
        <f>IF('Р 1. "Общие сведения"'!D64="","",'Р 1. "Общие сведения"'!D64)</f>
        <v/>
      </c>
      <c r="E64" s="44" t="str">
        <f>IF('Р 1. "Общие сведения"'!K64="","",'Р 1. "Общие сведения"'!K64)</f>
        <v/>
      </c>
      <c r="F64" s="45" t="str">
        <f>IF(OR(Таблица26[[#This Row],[Столбец1]]="",Таблица26[[#This Row],[Столбец5]]="",),"",VLOOKUP(A64,Таблица9[#All],2,FALSE))</f>
        <v/>
      </c>
      <c r="G64" s="47" t="str">
        <f>IF(OR(Таблица26[[#This Row],[Столбец1]]="",Таблица26[[#This Row],[Столбец5]]=""),"",VLOOKUP(A64,'Р 5. Финансирование'!$A$9:$D$100,3,FALSE))</f>
        <v/>
      </c>
      <c r="H64" s="47" t="str">
        <f>IF(OR(Таблица26[[#This Row],[Столбец1]]="",Таблица26[[#This Row],[Столбец5]]=""),"",VLOOKUP(A64,'Р 5. Финансирование'!$A$9:$D$100,4,FALSE))</f>
        <v/>
      </c>
      <c r="I64" s="6" t="str">
        <f>IF(OR(Таблица26[[#This Row],[Столбец5]]="отсутствует",Таблица26[[#This Row],[Столбец5]]=""),"",VLOOKUP(A64,'Р 4. Показатели_индикаторы'!$A$9:$J$103,3,FALSE))</f>
        <v/>
      </c>
      <c r="J64" s="6" t="str">
        <f>IF(OR(Таблица26[[#This Row],[Столбец5]]="отсутствует",Таблица26[[#This Row],[Столбец5]]=""),"",VLOOKUP(A64,'Р 4. Показатели_индикаторы'!$A$9:$J$103,4,FALSE))</f>
        <v/>
      </c>
      <c r="K64" s="6" t="str">
        <f>IF(OR(Таблица26[[#This Row],[Столбец1]]="",Таблица26[[#This Row],[Столбец5]]="",Таблица26[[#This Row],[Столбец5]]="отсутствует"),"",VLOOKUP(A64,'Р 4. Показатели_индикаторы'!$A$9:$J$103,5,FALSE))</f>
        <v/>
      </c>
      <c r="L64" s="6" t="str">
        <f>IF(OR(Таблица26[[#This Row],[Столбец1]]="",Таблица26[[#This Row],[Столбец5]]="",Таблица26[[#This Row],[Столбец5]]="отсутствует"),"",VLOOKUP(A64,'Р 4. Показатели_индикаторы'!$A$9:$J$103,6,FALSE))</f>
        <v/>
      </c>
      <c r="M64" s="6" t="str">
        <f>IF(OR(Таблица26[[#This Row],[Столбец1]]="",Таблица26[[#This Row],[Столбец5]]="",Таблица26[[#This Row],[Столбец5]]="отсутствует"),"",VLOOKUP(A64,'Р 4. Показатели_индикаторы'!$A$9:$J$103,7,FALSE))</f>
        <v/>
      </c>
      <c r="N64" s="6" t="str">
        <f>IF(OR(Таблица26[[#This Row],[Столбец1]]="",Таблица26[[#This Row],[Столбец5]]="",Таблица26[[#This Row],[Столбец5]]="отсутствует"),"",VLOOKUP(A64,'Р 4. Показатели_индикаторы'!$A$9:$J$103,8,FALSE))</f>
        <v/>
      </c>
      <c r="O64" s="10" t="str">
        <f>IF(VLOOKUP(A64,'Р 1. "Общие сведения"'!$I$8:$L$179,4,FALSE)="","",VLOOKUP(A64,'Р 1. "Общие сведения"'!$I$8:$L$179,4,FALSE))</f>
        <v/>
      </c>
    </row>
    <row r="65" spans="1:15" x14ac:dyDescent="0.25">
      <c r="A65" s="48" t="str">
        <f>IF('Р 1. "Общие сведения"'!I65="","",'Р 1. "Общие сведения"'!I65)</f>
        <v xml:space="preserve"> </v>
      </c>
      <c r="B65" s="44" t="str">
        <f>IF('Р 1. "Общие сведения"'!J65="","",'Р 1. "Общие сведения"'!J65)</f>
        <v/>
      </c>
      <c r="C65" s="44" t="str">
        <f>IF('Р 1. "Общие сведения"'!H65="","",'Р 1. "Общие сведения"'!H65)</f>
        <v/>
      </c>
      <c r="D65" s="44" t="str">
        <f>IF('Р 1. "Общие сведения"'!D65="","",'Р 1. "Общие сведения"'!D65)</f>
        <v/>
      </c>
      <c r="E65" s="44" t="str">
        <f>IF('Р 1. "Общие сведения"'!K65="","",'Р 1. "Общие сведения"'!K65)</f>
        <v/>
      </c>
      <c r="F65" s="45" t="str">
        <f>IF(OR(Таблица26[[#This Row],[Столбец1]]="",Таблица26[[#This Row],[Столбец5]]="",),"",VLOOKUP(A65,Таблица9[#All],2,FALSE))</f>
        <v/>
      </c>
      <c r="G65" s="47" t="str">
        <f>IF(OR(Таблица26[[#This Row],[Столбец1]]="",Таблица26[[#This Row],[Столбец5]]=""),"",VLOOKUP(A65,'Р 5. Финансирование'!$A$9:$D$100,3,FALSE))</f>
        <v/>
      </c>
      <c r="H65" s="47" t="str">
        <f>IF(OR(Таблица26[[#This Row],[Столбец1]]="",Таблица26[[#This Row],[Столбец5]]=""),"",VLOOKUP(A65,'Р 5. Финансирование'!$A$9:$D$100,4,FALSE))</f>
        <v/>
      </c>
      <c r="I65" s="6" t="str">
        <f>IF(OR(Таблица26[[#This Row],[Столбец5]]="отсутствует",Таблица26[[#This Row],[Столбец5]]=""),"",VLOOKUP(A65,'Р 4. Показатели_индикаторы'!$A$9:$J$103,3,FALSE))</f>
        <v/>
      </c>
      <c r="J65" s="6" t="str">
        <f>IF(OR(Таблица26[[#This Row],[Столбец5]]="отсутствует",Таблица26[[#This Row],[Столбец5]]=""),"",VLOOKUP(A65,'Р 4. Показатели_индикаторы'!$A$9:$J$103,4,FALSE))</f>
        <v/>
      </c>
      <c r="K65" s="6" t="str">
        <f>IF(OR(Таблица26[[#This Row],[Столбец1]]="",Таблица26[[#This Row],[Столбец5]]="",Таблица26[[#This Row],[Столбец5]]="отсутствует"),"",VLOOKUP(A65,'Р 4. Показатели_индикаторы'!$A$9:$J$103,5,FALSE))</f>
        <v/>
      </c>
      <c r="L65" s="6" t="str">
        <f>IF(OR(Таблица26[[#This Row],[Столбец1]]="",Таблица26[[#This Row],[Столбец5]]="",Таблица26[[#This Row],[Столбец5]]="отсутствует"),"",VLOOKUP(A65,'Р 4. Показатели_индикаторы'!$A$9:$J$103,6,FALSE))</f>
        <v/>
      </c>
      <c r="M65" s="6" t="str">
        <f>IF(OR(Таблица26[[#This Row],[Столбец1]]="",Таблица26[[#This Row],[Столбец5]]="",Таблица26[[#This Row],[Столбец5]]="отсутствует"),"",VLOOKUP(A65,'Р 4. Показатели_индикаторы'!$A$9:$J$103,7,FALSE))</f>
        <v/>
      </c>
      <c r="N65" s="6" t="str">
        <f>IF(OR(Таблица26[[#This Row],[Столбец1]]="",Таблица26[[#This Row],[Столбец5]]="",Таблица26[[#This Row],[Столбец5]]="отсутствует"),"",VLOOKUP(A65,'Р 4. Показатели_индикаторы'!$A$9:$J$103,8,FALSE))</f>
        <v/>
      </c>
      <c r="O65" s="10" t="str">
        <f>IF(VLOOKUP(A65,'Р 1. "Общие сведения"'!$I$8:$L$179,4,FALSE)="","",VLOOKUP(A65,'Р 1. "Общие сведения"'!$I$8:$L$179,4,FALSE))</f>
        <v/>
      </c>
    </row>
    <row r="66" spans="1:15" x14ac:dyDescent="0.25">
      <c r="A66" s="48" t="str">
        <f>IF('Р 1. "Общие сведения"'!I66="","",'Р 1. "Общие сведения"'!I66)</f>
        <v xml:space="preserve"> </v>
      </c>
      <c r="B66" s="44" t="str">
        <f>IF('Р 1. "Общие сведения"'!J66="","",'Р 1. "Общие сведения"'!J66)</f>
        <v/>
      </c>
      <c r="C66" s="44" t="str">
        <f>IF('Р 1. "Общие сведения"'!H66="","",'Р 1. "Общие сведения"'!H66)</f>
        <v/>
      </c>
      <c r="D66" s="44" t="str">
        <f>IF('Р 1. "Общие сведения"'!D66="","",'Р 1. "Общие сведения"'!D66)</f>
        <v/>
      </c>
      <c r="E66" s="44" t="str">
        <f>IF('Р 1. "Общие сведения"'!K66="","",'Р 1. "Общие сведения"'!K66)</f>
        <v/>
      </c>
      <c r="F66" s="45" t="str">
        <f>IF(OR(Таблица26[[#This Row],[Столбец1]]="",Таблица26[[#This Row],[Столбец5]]="",),"",VLOOKUP(A66,Таблица9[#All],2,FALSE))</f>
        <v/>
      </c>
      <c r="G66" s="47" t="str">
        <f>IF(OR(Таблица26[[#This Row],[Столбец1]]="",Таблица26[[#This Row],[Столбец5]]=""),"",VLOOKUP(A66,'Р 5. Финансирование'!$A$9:$D$100,3,FALSE))</f>
        <v/>
      </c>
      <c r="H66" s="47" t="str">
        <f>IF(OR(Таблица26[[#This Row],[Столбец1]]="",Таблица26[[#This Row],[Столбец5]]=""),"",VLOOKUP(A66,'Р 5. Финансирование'!$A$9:$D$100,4,FALSE))</f>
        <v/>
      </c>
      <c r="I66" s="6" t="str">
        <f>IF(OR(Таблица26[[#This Row],[Столбец5]]="отсутствует",Таблица26[[#This Row],[Столбец5]]=""),"",VLOOKUP(A66,'Р 4. Показатели_индикаторы'!$A$9:$J$103,3,FALSE))</f>
        <v/>
      </c>
      <c r="J66" s="6" t="str">
        <f>IF(OR(Таблица26[[#This Row],[Столбец5]]="отсутствует",Таблица26[[#This Row],[Столбец5]]=""),"",VLOOKUP(A66,'Р 4. Показатели_индикаторы'!$A$9:$J$103,4,FALSE))</f>
        <v/>
      </c>
      <c r="K66" s="6" t="str">
        <f>IF(OR(Таблица26[[#This Row],[Столбец1]]="",Таблица26[[#This Row],[Столбец5]]="",Таблица26[[#This Row],[Столбец5]]="отсутствует"),"",VLOOKUP(A66,'Р 4. Показатели_индикаторы'!$A$9:$J$103,5,FALSE))</f>
        <v/>
      </c>
      <c r="L66" s="6" t="str">
        <f>IF(OR(Таблица26[[#This Row],[Столбец1]]="",Таблица26[[#This Row],[Столбец5]]="",Таблица26[[#This Row],[Столбец5]]="отсутствует"),"",VLOOKUP(A66,'Р 4. Показатели_индикаторы'!$A$9:$J$103,6,FALSE))</f>
        <v/>
      </c>
      <c r="M66" s="6" t="str">
        <f>IF(OR(Таблица26[[#This Row],[Столбец1]]="",Таблица26[[#This Row],[Столбец5]]="",Таблица26[[#This Row],[Столбец5]]="отсутствует"),"",VLOOKUP(A66,'Р 4. Показатели_индикаторы'!$A$9:$J$103,7,FALSE))</f>
        <v/>
      </c>
      <c r="N66" s="6" t="str">
        <f>IF(OR(Таблица26[[#This Row],[Столбец1]]="",Таблица26[[#This Row],[Столбец5]]="",Таблица26[[#This Row],[Столбец5]]="отсутствует"),"",VLOOKUP(A66,'Р 4. Показатели_индикаторы'!$A$9:$J$103,8,FALSE))</f>
        <v/>
      </c>
      <c r="O66" s="10" t="str">
        <f>IF(VLOOKUP(A66,'Р 1. "Общие сведения"'!$I$8:$L$179,4,FALSE)="","",VLOOKUP(A66,'Р 1. "Общие сведения"'!$I$8:$L$179,4,FALSE))</f>
        <v/>
      </c>
    </row>
    <row r="67" spans="1:15" x14ac:dyDescent="0.25">
      <c r="A67" s="48" t="str">
        <f>IF('Р 1. "Общие сведения"'!I67="","",'Р 1. "Общие сведения"'!I67)</f>
        <v xml:space="preserve"> </v>
      </c>
      <c r="B67" s="44" t="str">
        <f>IF('Р 1. "Общие сведения"'!J67="","",'Р 1. "Общие сведения"'!J67)</f>
        <v/>
      </c>
      <c r="C67" s="44" t="str">
        <f>IF('Р 1. "Общие сведения"'!H67="","",'Р 1. "Общие сведения"'!H67)</f>
        <v/>
      </c>
      <c r="D67" s="44" t="str">
        <f>IF('Р 1. "Общие сведения"'!D67="","",'Р 1. "Общие сведения"'!D67)</f>
        <v/>
      </c>
      <c r="E67" s="44" t="str">
        <f>IF('Р 1. "Общие сведения"'!K67="","",'Р 1. "Общие сведения"'!K67)</f>
        <v/>
      </c>
      <c r="F67" s="45" t="str">
        <f>IF(OR(Таблица26[[#This Row],[Столбец1]]="",Таблица26[[#This Row],[Столбец5]]="",),"",VLOOKUP(A67,Таблица9[#All],2,FALSE))</f>
        <v/>
      </c>
      <c r="G67" s="47" t="str">
        <f>IF(OR(Таблица26[[#This Row],[Столбец1]]="",Таблица26[[#This Row],[Столбец5]]=""),"",VLOOKUP(A67,'Р 5. Финансирование'!$A$9:$D$100,3,FALSE))</f>
        <v/>
      </c>
      <c r="H67" s="47" t="str">
        <f>IF(OR(Таблица26[[#This Row],[Столбец1]]="",Таблица26[[#This Row],[Столбец5]]=""),"",VLOOKUP(A67,'Р 5. Финансирование'!$A$9:$D$100,4,FALSE))</f>
        <v/>
      </c>
      <c r="I67" s="6" t="str">
        <f>IF(OR(Таблица26[[#This Row],[Столбец5]]="отсутствует",Таблица26[[#This Row],[Столбец5]]=""),"",VLOOKUP(A67,'Р 4. Показатели_индикаторы'!$A$9:$J$103,3,FALSE))</f>
        <v/>
      </c>
      <c r="J67" s="6" t="str">
        <f>IF(OR(Таблица26[[#This Row],[Столбец5]]="отсутствует",Таблица26[[#This Row],[Столбец5]]=""),"",VLOOKUP(A67,'Р 4. Показатели_индикаторы'!$A$9:$J$103,4,FALSE))</f>
        <v/>
      </c>
      <c r="K67" s="6" t="str">
        <f>IF(OR(Таблица26[[#This Row],[Столбец1]]="",Таблица26[[#This Row],[Столбец5]]="",Таблица26[[#This Row],[Столбец5]]="отсутствует"),"",VLOOKUP(A67,'Р 4. Показатели_индикаторы'!$A$9:$J$103,5,FALSE))</f>
        <v/>
      </c>
      <c r="L67" s="6" t="str">
        <f>IF(OR(Таблица26[[#This Row],[Столбец1]]="",Таблица26[[#This Row],[Столбец5]]="",Таблица26[[#This Row],[Столбец5]]="отсутствует"),"",VLOOKUP(A67,'Р 4. Показатели_индикаторы'!$A$9:$J$103,6,FALSE))</f>
        <v/>
      </c>
      <c r="M67" s="6" t="str">
        <f>IF(OR(Таблица26[[#This Row],[Столбец1]]="",Таблица26[[#This Row],[Столбец5]]="",Таблица26[[#This Row],[Столбец5]]="отсутствует"),"",VLOOKUP(A67,'Р 4. Показатели_индикаторы'!$A$9:$J$103,7,FALSE))</f>
        <v/>
      </c>
      <c r="N67" s="6" t="str">
        <f>IF(OR(Таблица26[[#This Row],[Столбец1]]="",Таблица26[[#This Row],[Столбец5]]="",Таблица26[[#This Row],[Столбец5]]="отсутствует"),"",VLOOKUP(A67,'Р 4. Показатели_индикаторы'!$A$9:$J$103,8,FALSE))</f>
        <v/>
      </c>
      <c r="O67" s="10" t="str">
        <f>IF(VLOOKUP(A67,'Р 1. "Общие сведения"'!$I$8:$L$179,4,FALSE)="","",VLOOKUP(A67,'Р 1. "Общие сведения"'!$I$8:$L$179,4,FALSE))</f>
        <v/>
      </c>
    </row>
    <row r="68" spans="1:15" x14ac:dyDescent="0.25">
      <c r="A68" s="48" t="str">
        <f>IF('Р 1. "Общие сведения"'!I68="","",'Р 1. "Общие сведения"'!I68)</f>
        <v xml:space="preserve"> </v>
      </c>
      <c r="B68" s="44" t="str">
        <f>IF('Р 1. "Общие сведения"'!J68="","",'Р 1. "Общие сведения"'!J68)</f>
        <v/>
      </c>
      <c r="C68" s="44" t="str">
        <f>IF('Р 1. "Общие сведения"'!H68="","",'Р 1. "Общие сведения"'!H68)</f>
        <v/>
      </c>
      <c r="D68" s="44" t="str">
        <f>IF('Р 1. "Общие сведения"'!D68="","",'Р 1. "Общие сведения"'!D68)</f>
        <v/>
      </c>
      <c r="E68" s="44" t="str">
        <f>IF('Р 1. "Общие сведения"'!K68="","",'Р 1. "Общие сведения"'!K68)</f>
        <v/>
      </c>
      <c r="F68" s="45" t="str">
        <f>IF(OR(Таблица26[[#This Row],[Столбец1]]="",Таблица26[[#This Row],[Столбец5]]="",),"",VLOOKUP(A68,Таблица9[#All],2,FALSE))</f>
        <v/>
      </c>
      <c r="G68" s="47" t="str">
        <f>IF(OR(Таблица26[[#This Row],[Столбец1]]="",Таблица26[[#This Row],[Столбец5]]=""),"",VLOOKUP(A68,'Р 5. Финансирование'!$A$9:$D$100,3,FALSE))</f>
        <v/>
      </c>
      <c r="H68" s="47" t="str">
        <f>IF(OR(Таблица26[[#This Row],[Столбец1]]="",Таблица26[[#This Row],[Столбец5]]=""),"",VLOOKUP(A68,'Р 5. Финансирование'!$A$9:$D$100,4,FALSE))</f>
        <v/>
      </c>
      <c r="I68" s="6" t="str">
        <f>IF(OR(Таблица26[[#This Row],[Столбец5]]="отсутствует",Таблица26[[#This Row],[Столбец5]]=""),"",VLOOKUP(A68,'Р 4. Показатели_индикаторы'!$A$9:$J$103,3,FALSE))</f>
        <v/>
      </c>
      <c r="J68" s="6" t="str">
        <f>IF(OR(Таблица26[[#This Row],[Столбец5]]="отсутствует",Таблица26[[#This Row],[Столбец5]]=""),"",VLOOKUP(A68,'Р 4. Показатели_индикаторы'!$A$9:$J$103,4,FALSE))</f>
        <v/>
      </c>
      <c r="K68" s="6" t="str">
        <f>IF(OR(Таблица26[[#This Row],[Столбец1]]="",Таблица26[[#This Row],[Столбец5]]="",Таблица26[[#This Row],[Столбец5]]="отсутствует"),"",VLOOKUP(A68,'Р 4. Показатели_индикаторы'!$A$9:$J$103,5,FALSE))</f>
        <v/>
      </c>
      <c r="L68" s="6" t="str">
        <f>IF(OR(Таблица26[[#This Row],[Столбец1]]="",Таблица26[[#This Row],[Столбец5]]="",Таблица26[[#This Row],[Столбец5]]="отсутствует"),"",VLOOKUP(A68,'Р 4. Показатели_индикаторы'!$A$9:$J$103,6,FALSE))</f>
        <v/>
      </c>
      <c r="M68" s="6" t="str">
        <f>IF(OR(Таблица26[[#This Row],[Столбец1]]="",Таблица26[[#This Row],[Столбец5]]="",Таблица26[[#This Row],[Столбец5]]="отсутствует"),"",VLOOKUP(A68,'Р 4. Показатели_индикаторы'!$A$9:$J$103,7,FALSE))</f>
        <v/>
      </c>
      <c r="N68" s="6" t="str">
        <f>IF(OR(Таблица26[[#This Row],[Столбец1]]="",Таблица26[[#This Row],[Столбец5]]="",Таблица26[[#This Row],[Столбец5]]="отсутствует"),"",VLOOKUP(A68,'Р 4. Показатели_индикаторы'!$A$9:$J$103,8,FALSE))</f>
        <v/>
      </c>
      <c r="O68" s="10" t="str">
        <f>IF(VLOOKUP(A68,'Р 1. "Общие сведения"'!$I$8:$L$179,4,FALSE)="","",VLOOKUP(A68,'Р 1. "Общие сведения"'!$I$8:$L$179,4,FALSE))</f>
        <v/>
      </c>
    </row>
    <row r="69" spans="1:15" x14ac:dyDescent="0.25">
      <c r="A69" s="48" t="str">
        <f>IF('Р 1. "Общие сведения"'!I69="","",'Р 1. "Общие сведения"'!I69)</f>
        <v xml:space="preserve"> </v>
      </c>
      <c r="B69" s="44" t="str">
        <f>IF('Р 1. "Общие сведения"'!J69="","",'Р 1. "Общие сведения"'!J69)</f>
        <v/>
      </c>
      <c r="C69" s="44" t="str">
        <f>IF('Р 1. "Общие сведения"'!H69="","",'Р 1. "Общие сведения"'!H69)</f>
        <v/>
      </c>
      <c r="D69" s="44" t="str">
        <f>IF('Р 1. "Общие сведения"'!D69="","",'Р 1. "Общие сведения"'!D69)</f>
        <v/>
      </c>
      <c r="E69" s="44" t="str">
        <f>IF('Р 1. "Общие сведения"'!K69="","",'Р 1. "Общие сведения"'!K69)</f>
        <v/>
      </c>
      <c r="F69" s="45" t="str">
        <f>IF(OR(Таблица26[[#This Row],[Столбец1]]="",Таблица26[[#This Row],[Столбец5]]="",),"",VLOOKUP(A69,Таблица9[#All],2,FALSE))</f>
        <v/>
      </c>
      <c r="G69" s="47" t="str">
        <f>IF(OR(Таблица26[[#This Row],[Столбец1]]="",Таблица26[[#This Row],[Столбец5]]=""),"",VLOOKUP(A69,'Р 5. Финансирование'!$A$9:$D$100,3,FALSE))</f>
        <v/>
      </c>
      <c r="H69" s="47" t="str">
        <f>IF(OR(Таблица26[[#This Row],[Столбец1]]="",Таблица26[[#This Row],[Столбец5]]=""),"",VLOOKUP(A69,'Р 5. Финансирование'!$A$9:$D$100,4,FALSE))</f>
        <v/>
      </c>
      <c r="I69" s="6" t="str">
        <f>IF(OR(Таблица26[[#This Row],[Столбец5]]="отсутствует",Таблица26[[#This Row],[Столбец5]]=""),"",VLOOKUP(A69,'Р 4. Показатели_индикаторы'!$A$9:$J$103,3,FALSE))</f>
        <v/>
      </c>
      <c r="J69" s="6" t="str">
        <f>IF(OR(Таблица26[[#This Row],[Столбец5]]="отсутствует",Таблица26[[#This Row],[Столбец5]]=""),"",VLOOKUP(A69,'Р 4. Показатели_индикаторы'!$A$9:$J$103,4,FALSE))</f>
        <v/>
      </c>
      <c r="K69" s="6" t="str">
        <f>IF(OR(Таблица26[[#This Row],[Столбец1]]="",Таблица26[[#This Row],[Столбец5]]="",Таблица26[[#This Row],[Столбец5]]="отсутствует"),"",VLOOKUP(A69,'Р 4. Показатели_индикаторы'!$A$9:$J$103,5,FALSE))</f>
        <v/>
      </c>
      <c r="L69" s="6" t="str">
        <f>IF(OR(Таблица26[[#This Row],[Столбец1]]="",Таблица26[[#This Row],[Столбец5]]="",Таблица26[[#This Row],[Столбец5]]="отсутствует"),"",VLOOKUP(A69,'Р 4. Показатели_индикаторы'!$A$9:$J$103,6,FALSE))</f>
        <v/>
      </c>
      <c r="M69" s="6" t="str">
        <f>IF(OR(Таблица26[[#This Row],[Столбец1]]="",Таблица26[[#This Row],[Столбец5]]="",Таблица26[[#This Row],[Столбец5]]="отсутствует"),"",VLOOKUP(A69,'Р 4. Показатели_индикаторы'!$A$9:$J$103,7,FALSE))</f>
        <v/>
      </c>
      <c r="N69" s="6" t="str">
        <f>IF(OR(Таблица26[[#This Row],[Столбец1]]="",Таблица26[[#This Row],[Столбец5]]="",Таблица26[[#This Row],[Столбец5]]="отсутствует"),"",VLOOKUP(A69,'Р 4. Показатели_индикаторы'!$A$9:$J$103,8,FALSE))</f>
        <v/>
      </c>
      <c r="O69" s="10" t="str">
        <f>IF(VLOOKUP(A69,'Р 1. "Общие сведения"'!$I$8:$L$179,4,FALSE)="","",VLOOKUP(A69,'Р 1. "Общие сведения"'!$I$8:$L$179,4,FALSE))</f>
        <v/>
      </c>
    </row>
    <row r="70" spans="1:15" x14ac:dyDescent="0.25">
      <c r="A70" s="48" t="str">
        <f>IF('Р 1. "Общие сведения"'!I70="","",'Р 1. "Общие сведения"'!I70)</f>
        <v xml:space="preserve"> </v>
      </c>
      <c r="B70" s="44" t="str">
        <f>IF('Р 1. "Общие сведения"'!J70="","",'Р 1. "Общие сведения"'!J70)</f>
        <v/>
      </c>
      <c r="C70" s="44" t="str">
        <f>IF('Р 1. "Общие сведения"'!H70="","",'Р 1. "Общие сведения"'!H70)</f>
        <v/>
      </c>
      <c r="D70" s="44" t="str">
        <f>IF('Р 1. "Общие сведения"'!D70="","",'Р 1. "Общие сведения"'!D70)</f>
        <v/>
      </c>
      <c r="E70" s="44" t="str">
        <f>IF('Р 1. "Общие сведения"'!K70="","",'Р 1. "Общие сведения"'!K70)</f>
        <v/>
      </c>
      <c r="F70" s="45" t="str">
        <f>IF(OR(Таблица26[[#This Row],[Столбец1]]="",Таблица26[[#This Row],[Столбец5]]="",),"",VLOOKUP(A70,Таблица9[#All],2,FALSE))</f>
        <v/>
      </c>
      <c r="G70" s="47" t="str">
        <f>IF(OR(Таблица26[[#This Row],[Столбец1]]="",Таблица26[[#This Row],[Столбец5]]=""),"",VLOOKUP(A70,'Р 5. Финансирование'!$A$9:$D$100,3,FALSE))</f>
        <v/>
      </c>
      <c r="H70" s="47" t="str">
        <f>IF(OR(Таблица26[[#This Row],[Столбец1]]="",Таблица26[[#This Row],[Столбец5]]=""),"",VLOOKUP(A70,'Р 5. Финансирование'!$A$9:$D$100,4,FALSE))</f>
        <v/>
      </c>
      <c r="I70" s="6" t="str">
        <f>IF(OR(Таблица26[[#This Row],[Столбец5]]="отсутствует",Таблица26[[#This Row],[Столбец5]]=""),"",VLOOKUP(A70,'Р 4. Показатели_индикаторы'!$A$9:$J$103,3,FALSE))</f>
        <v/>
      </c>
      <c r="J70" s="6" t="str">
        <f>IF(OR(Таблица26[[#This Row],[Столбец5]]="отсутствует",Таблица26[[#This Row],[Столбец5]]=""),"",VLOOKUP(A70,'Р 4. Показатели_индикаторы'!$A$9:$J$103,4,FALSE))</f>
        <v/>
      </c>
      <c r="K70" s="6" t="str">
        <f>IF(OR(Таблица26[[#This Row],[Столбец1]]="",Таблица26[[#This Row],[Столбец5]]="",Таблица26[[#This Row],[Столбец5]]="отсутствует"),"",VLOOKUP(A70,'Р 4. Показатели_индикаторы'!$A$9:$J$103,5,FALSE))</f>
        <v/>
      </c>
      <c r="L70" s="6" t="str">
        <f>IF(OR(Таблица26[[#This Row],[Столбец1]]="",Таблица26[[#This Row],[Столбец5]]="",Таблица26[[#This Row],[Столбец5]]="отсутствует"),"",VLOOKUP(A70,'Р 4. Показатели_индикаторы'!$A$9:$J$103,6,FALSE))</f>
        <v/>
      </c>
      <c r="M70" s="6" t="str">
        <f>IF(OR(Таблица26[[#This Row],[Столбец1]]="",Таблица26[[#This Row],[Столбец5]]="",Таблица26[[#This Row],[Столбец5]]="отсутствует"),"",VLOOKUP(A70,'Р 4. Показатели_индикаторы'!$A$9:$J$103,7,FALSE))</f>
        <v/>
      </c>
      <c r="N70" s="6" t="str">
        <f>IF(OR(Таблица26[[#This Row],[Столбец1]]="",Таблица26[[#This Row],[Столбец5]]="",Таблица26[[#This Row],[Столбец5]]="отсутствует"),"",VLOOKUP(A70,'Р 4. Показатели_индикаторы'!$A$9:$J$103,8,FALSE))</f>
        <v/>
      </c>
      <c r="O70" s="10" t="str">
        <f>IF(VLOOKUP(A70,'Р 1. "Общие сведения"'!$I$8:$L$179,4,FALSE)="","",VLOOKUP(A70,'Р 1. "Общие сведения"'!$I$8:$L$179,4,FALSE))</f>
        <v/>
      </c>
    </row>
    <row r="71" spans="1:15" x14ac:dyDescent="0.25">
      <c r="A71" s="48" t="str">
        <f>IF('Р 1. "Общие сведения"'!I71="","",'Р 1. "Общие сведения"'!I71)</f>
        <v xml:space="preserve"> </v>
      </c>
      <c r="B71" s="44" t="str">
        <f>IF('Р 1. "Общие сведения"'!J71="","",'Р 1. "Общие сведения"'!J71)</f>
        <v/>
      </c>
      <c r="C71" s="44" t="str">
        <f>IF('Р 1. "Общие сведения"'!H71="","",'Р 1. "Общие сведения"'!H71)</f>
        <v/>
      </c>
      <c r="D71" s="44" t="str">
        <f>IF('Р 1. "Общие сведения"'!D71="","",'Р 1. "Общие сведения"'!D71)</f>
        <v/>
      </c>
      <c r="E71" s="44" t="str">
        <f>IF('Р 1. "Общие сведения"'!K71="","",'Р 1. "Общие сведения"'!K71)</f>
        <v/>
      </c>
      <c r="F71" s="45" t="str">
        <f>IF(OR(Таблица26[[#This Row],[Столбец1]]="",Таблица26[[#This Row],[Столбец5]]="",),"",VLOOKUP(A71,Таблица9[#All],2,FALSE))</f>
        <v/>
      </c>
      <c r="G71" s="47" t="str">
        <f>IF(OR(Таблица26[[#This Row],[Столбец1]]="",Таблица26[[#This Row],[Столбец5]]=""),"",VLOOKUP(A71,'Р 5. Финансирование'!$A$9:$D$100,3,FALSE))</f>
        <v/>
      </c>
      <c r="H71" s="47" t="str">
        <f>IF(OR(Таблица26[[#This Row],[Столбец1]]="",Таблица26[[#This Row],[Столбец5]]=""),"",VLOOKUP(A71,'Р 5. Финансирование'!$A$9:$D$100,4,FALSE))</f>
        <v/>
      </c>
      <c r="I71" s="6" t="str">
        <f>IF(OR(Таблица26[[#This Row],[Столбец5]]="отсутствует",Таблица26[[#This Row],[Столбец5]]=""),"",VLOOKUP(A71,'Р 4. Показатели_индикаторы'!$A$9:$J$103,3,FALSE))</f>
        <v/>
      </c>
      <c r="J71" s="6" t="str">
        <f>IF(OR(Таблица26[[#This Row],[Столбец5]]="отсутствует",Таблица26[[#This Row],[Столбец5]]=""),"",VLOOKUP(A71,'Р 4. Показатели_индикаторы'!$A$9:$J$103,4,FALSE))</f>
        <v/>
      </c>
      <c r="K71" s="6" t="str">
        <f>IF(OR(Таблица26[[#This Row],[Столбец1]]="",Таблица26[[#This Row],[Столбец5]]="",Таблица26[[#This Row],[Столбец5]]="отсутствует"),"",VLOOKUP(A71,'Р 4. Показатели_индикаторы'!$A$9:$J$103,5,FALSE))</f>
        <v/>
      </c>
      <c r="L71" s="6" t="str">
        <f>IF(OR(Таблица26[[#This Row],[Столбец1]]="",Таблица26[[#This Row],[Столбец5]]="",Таблица26[[#This Row],[Столбец5]]="отсутствует"),"",VLOOKUP(A71,'Р 4. Показатели_индикаторы'!$A$9:$J$103,6,FALSE))</f>
        <v/>
      </c>
      <c r="M71" s="6" t="str">
        <f>IF(OR(Таблица26[[#This Row],[Столбец1]]="",Таблица26[[#This Row],[Столбец5]]="",Таблица26[[#This Row],[Столбец5]]="отсутствует"),"",VLOOKUP(A71,'Р 4. Показатели_индикаторы'!$A$9:$J$103,7,FALSE))</f>
        <v/>
      </c>
      <c r="N71" s="6" t="str">
        <f>IF(OR(Таблица26[[#This Row],[Столбец1]]="",Таблица26[[#This Row],[Столбец5]]="",Таблица26[[#This Row],[Столбец5]]="отсутствует"),"",VLOOKUP(A71,'Р 4. Показатели_индикаторы'!$A$9:$J$103,8,FALSE))</f>
        <v/>
      </c>
      <c r="O71" s="10" t="str">
        <f>IF(VLOOKUP(A71,'Р 1. "Общие сведения"'!$I$8:$L$179,4,FALSE)="","",VLOOKUP(A71,'Р 1. "Общие сведения"'!$I$8:$L$179,4,FALSE))</f>
        <v/>
      </c>
    </row>
    <row r="72" spans="1:15" x14ac:dyDescent="0.25">
      <c r="A72" s="48" t="str">
        <f>IF('Р 1. "Общие сведения"'!I72="","",'Р 1. "Общие сведения"'!I72)</f>
        <v xml:space="preserve"> </v>
      </c>
      <c r="B72" s="44" t="str">
        <f>IF('Р 1. "Общие сведения"'!J72="","",'Р 1. "Общие сведения"'!J72)</f>
        <v/>
      </c>
      <c r="C72" s="44" t="str">
        <f>IF('Р 1. "Общие сведения"'!H72="","",'Р 1. "Общие сведения"'!H72)</f>
        <v/>
      </c>
      <c r="D72" s="44" t="str">
        <f>IF('Р 1. "Общие сведения"'!D72="","",'Р 1. "Общие сведения"'!D72)</f>
        <v/>
      </c>
      <c r="E72" s="44" t="str">
        <f>IF('Р 1. "Общие сведения"'!K72="","",'Р 1. "Общие сведения"'!K72)</f>
        <v/>
      </c>
      <c r="F72" s="45" t="str">
        <f>IF(OR(Таблица26[[#This Row],[Столбец1]]="",Таблица26[[#This Row],[Столбец5]]="",),"",VLOOKUP(A72,Таблица9[#All],2,FALSE))</f>
        <v/>
      </c>
      <c r="G72" s="47" t="str">
        <f>IF(OR(Таблица26[[#This Row],[Столбец1]]="",Таблица26[[#This Row],[Столбец5]]=""),"",VLOOKUP(A72,'Р 5. Финансирование'!$A$9:$D$100,3,FALSE))</f>
        <v/>
      </c>
      <c r="H72" s="47" t="str">
        <f>IF(OR(Таблица26[[#This Row],[Столбец1]]="",Таблица26[[#This Row],[Столбец5]]=""),"",VLOOKUP(A72,'Р 5. Финансирование'!$A$9:$D$100,4,FALSE))</f>
        <v/>
      </c>
      <c r="I72" s="6" t="str">
        <f>IF(OR(Таблица26[[#This Row],[Столбец5]]="отсутствует",Таблица26[[#This Row],[Столбец5]]=""),"",VLOOKUP(A72,'Р 4. Показатели_индикаторы'!$A$9:$J$103,3,FALSE))</f>
        <v/>
      </c>
      <c r="J72" s="6" t="str">
        <f>IF(OR(Таблица26[[#This Row],[Столбец5]]="отсутствует",Таблица26[[#This Row],[Столбец5]]=""),"",VLOOKUP(A72,'Р 4. Показатели_индикаторы'!$A$9:$J$103,4,FALSE))</f>
        <v/>
      </c>
      <c r="K72" s="6" t="str">
        <f>IF(OR(Таблица26[[#This Row],[Столбец1]]="",Таблица26[[#This Row],[Столбец5]]="",Таблица26[[#This Row],[Столбец5]]="отсутствует"),"",VLOOKUP(A72,'Р 4. Показатели_индикаторы'!$A$9:$J$103,5,FALSE))</f>
        <v/>
      </c>
      <c r="L72" s="6" t="str">
        <f>IF(OR(Таблица26[[#This Row],[Столбец1]]="",Таблица26[[#This Row],[Столбец5]]="",Таблица26[[#This Row],[Столбец5]]="отсутствует"),"",VLOOKUP(A72,'Р 4. Показатели_индикаторы'!$A$9:$J$103,6,FALSE))</f>
        <v/>
      </c>
      <c r="M72" s="6" t="str">
        <f>IF(OR(Таблица26[[#This Row],[Столбец1]]="",Таблица26[[#This Row],[Столбец5]]="",Таблица26[[#This Row],[Столбец5]]="отсутствует"),"",VLOOKUP(A72,'Р 4. Показатели_индикаторы'!$A$9:$J$103,7,FALSE))</f>
        <v/>
      </c>
      <c r="N72" s="6" t="str">
        <f>IF(OR(Таблица26[[#This Row],[Столбец1]]="",Таблица26[[#This Row],[Столбец5]]="",Таблица26[[#This Row],[Столбец5]]="отсутствует"),"",VLOOKUP(A72,'Р 4. Показатели_индикаторы'!$A$9:$J$103,8,FALSE))</f>
        <v/>
      </c>
      <c r="O72" s="10" t="str">
        <f>IF(VLOOKUP(A72,'Р 1. "Общие сведения"'!$I$8:$L$179,4,FALSE)="","",VLOOKUP(A72,'Р 1. "Общие сведения"'!$I$8:$L$179,4,FALSE))</f>
        <v/>
      </c>
    </row>
    <row r="73" spans="1:15" x14ac:dyDescent="0.25">
      <c r="A73" s="48" t="str">
        <f>IF('Р 1. "Общие сведения"'!I73="","",'Р 1. "Общие сведения"'!I73)</f>
        <v xml:space="preserve"> </v>
      </c>
      <c r="B73" s="44" t="str">
        <f>IF('Р 1. "Общие сведения"'!J73="","",'Р 1. "Общие сведения"'!J73)</f>
        <v/>
      </c>
      <c r="C73" s="44" t="str">
        <f>IF('Р 1. "Общие сведения"'!H73="","",'Р 1. "Общие сведения"'!H73)</f>
        <v/>
      </c>
      <c r="D73" s="44" t="str">
        <f>IF('Р 1. "Общие сведения"'!D73="","",'Р 1. "Общие сведения"'!D73)</f>
        <v/>
      </c>
      <c r="E73" s="44" t="str">
        <f>IF('Р 1. "Общие сведения"'!K73="","",'Р 1. "Общие сведения"'!K73)</f>
        <v/>
      </c>
      <c r="F73" s="45" t="str">
        <f>IF(OR(Таблица26[[#This Row],[Столбец1]]="",Таблица26[[#This Row],[Столбец5]]="",),"",VLOOKUP(A73,Таблица9[#All],2,FALSE))</f>
        <v/>
      </c>
      <c r="G73" s="47" t="str">
        <f>IF(OR(Таблица26[[#This Row],[Столбец1]]="",Таблица26[[#This Row],[Столбец5]]=""),"",VLOOKUP(A73,'Р 5. Финансирование'!$A$9:$D$100,3,FALSE))</f>
        <v/>
      </c>
      <c r="H73" s="47" t="str">
        <f>IF(OR(Таблица26[[#This Row],[Столбец1]]="",Таблица26[[#This Row],[Столбец5]]=""),"",VLOOKUP(A73,'Р 5. Финансирование'!$A$9:$D$100,4,FALSE))</f>
        <v/>
      </c>
      <c r="I73" s="6" t="str">
        <f>IF(OR(Таблица26[[#This Row],[Столбец5]]="отсутствует",Таблица26[[#This Row],[Столбец5]]=""),"",VLOOKUP(A73,'Р 4. Показатели_индикаторы'!$A$9:$J$103,3,FALSE))</f>
        <v/>
      </c>
      <c r="J73" s="6" t="str">
        <f>IF(OR(Таблица26[[#This Row],[Столбец5]]="отсутствует",Таблица26[[#This Row],[Столбец5]]=""),"",VLOOKUP(A73,'Р 4. Показатели_индикаторы'!$A$9:$J$103,4,FALSE))</f>
        <v/>
      </c>
      <c r="K73" s="6" t="str">
        <f>IF(OR(Таблица26[[#This Row],[Столбец1]]="",Таблица26[[#This Row],[Столбец5]]="",Таблица26[[#This Row],[Столбец5]]="отсутствует"),"",VLOOKUP(A73,'Р 4. Показатели_индикаторы'!$A$9:$J$103,5,FALSE))</f>
        <v/>
      </c>
      <c r="L73" s="6" t="str">
        <f>IF(OR(Таблица26[[#This Row],[Столбец1]]="",Таблица26[[#This Row],[Столбец5]]="",Таблица26[[#This Row],[Столбец5]]="отсутствует"),"",VLOOKUP(A73,'Р 4. Показатели_индикаторы'!$A$9:$J$103,6,FALSE))</f>
        <v/>
      </c>
      <c r="M73" s="6" t="str">
        <f>IF(OR(Таблица26[[#This Row],[Столбец1]]="",Таблица26[[#This Row],[Столбец5]]="",Таблица26[[#This Row],[Столбец5]]="отсутствует"),"",VLOOKUP(A73,'Р 4. Показатели_индикаторы'!$A$9:$J$103,7,FALSE))</f>
        <v/>
      </c>
      <c r="N73" s="6" t="str">
        <f>IF(OR(Таблица26[[#This Row],[Столбец1]]="",Таблица26[[#This Row],[Столбец5]]="",Таблица26[[#This Row],[Столбец5]]="отсутствует"),"",VLOOKUP(A73,'Р 4. Показатели_индикаторы'!$A$9:$J$103,8,FALSE))</f>
        <v/>
      </c>
      <c r="O73" s="10" t="str">
        <f>IF(VLOOKUP(A73,'Р 1. "Общие сведения"'!$I$8:$L$179,4,FALSE)="","",VLOOKUP(A73,'Р 1. "Общие сведения"'!$I$8:$L$179,4,FALSE))</f>
        <v/>
      </c>
    </row>
    <row r="74" spans="1:15" x14ac:dyDescent="0.25">
      <c r="A74" s="48" t="str">
        <f>IF('Р 1. "Общие сведения"'!I74="","",'Р 1. "Общие сведения"'!I74)</f>
        <v xml:space="preserve"> </v>
      </c>
      <c r="B74" s="44" t="str">
        <f>IF('Р 1. "Общие сведения"'!J74="","",'Р 1. "Общие сведения"'!J74)</f>
        <v/>
      </c>
      <c r="C74" s="44" t="str">
        <f>IF('Р 1. "Общие сведения"'!H74="","",'Р 1. "Общие сведения"'!H74)</f>
        <v/>
      </c>
      <c r="D74" s="44" t="str">
        <f>IF('Р 1. "Общие сведения"'!D74="","",'Р 1. "Общие сведения"'!D74)</f>
        <v/>
      </c>
      <c r="E74" s="44" t="str">
        <f>IF('Р 1. "Общие сведения"'!K74="","",'Р 1. "Общие сведения"'!K74)</f>
        <v/>
      </c>
      <c r="F74" s="45" t="str">
        <f>IF(OR(Таблица26[[#This Row],[Столбец1]]="",Таблица26[[#This Row],[Столбец5]]="",),"",VLOOKUP(A74,Таблица9[#All],2,FALSE))</f>
        <v/>
      </c>
      <c r="G74" s="47" t="str">
        <f>IF(OR(Таблица26[[#This Row],[Столбец1]]="",Таблица26[[#This Row],[Столбец5]]=""),"",VLOOKUP(A74,'Р 5. Финансирование'!$A$9:$D$100,3,FALSE))</f>
        <v/>
      </c>
      <c r="H74" s="47" t="str">
        <f>IF(OR(Таблица26[[#This Row],[Столбец1]]="",Таблица26[[#This Row],[Столбец5]]=""),"",VLOOKUP(A74,'Р 5. Финансирование'!$A$9:$D$100,4,FALSE))</f>
        <v/>
      </c>
      <c r="I74" s="6" t="str">
        <f>IF(OR(Таблица26[[#This Row],[Столбец5]]="отсутствует",Таблица26[[#This Row],[Столбец5]]=""),"",VLOOKUP(A74,'Р 4. Показатели_индикаторы'!$A$9:$J$103,3,FALSE))</f>
        <v/>
      </c>
      <c r="J74" s="6" t="str">
        <f>IF(OR(Таблица26[[#This Row],[Столбец5]]="отсутствует",Таблица26[[#This Row],[Столбец5]]=""),"",VLOOKUP(A74,'Р 4. Показатели_индикаторы'!$A$9:$J$103,4,FALSE))</f>
        <v/>
      </c>
      <c r="K74" s="6" t="str">
        <f>IF(OR(Таблица26[[#This Row],[Столбец1]]="",Таблица26[[#This Row],[Столбец5]]="",Таблица26[[#This Row],[Столбец5]]="отсутствует"),"",VLOOKUP(A74,'Р 4. Показатели_индикаторы'!$A$9:$J$103,5,FALSE))</f>
        <v/>
      </c>
      <c r="L74" s="6" t="str">
        <f>IF(OR(Таблица26[[#This Row],[Столбец1]]="",Таблица26[[#This Row],[Столбец5]]="",Таблица26[[#This Row],[Столбец5]]="отсутствует"),"",VLOOKUP(A74,'Р 4. Показатели_индикаторы'!$A$9:$J$103,6,FALSE))</f>
        <v/>
      </c>
      <c r="M74" s="6" t="str">
        <f>IF(OR(Таблица26[[#This Row],[Столбец1]]="",Таблица26[[#This Row],[Столбец5]]="",Таблица26[[#This Row],[Столбец5]]="отсутствует"),"",VLOOKUP(A74,'Р 4. Показатели_индикаторы'!$A$9:$J$103,7,FALSE))</f>
        <v/>
      </c>
      <c r="N74" s="6" t="str">
        <f>IF(OR(Таблица26[[#This Row],[Столбец1]]="",Таблица26[[#This Row],[Столбец5]]="",Таблица26[[#This Row],[Столбец5]]="отсутствует"),"",VLOOKUP(A74,'Р 4. Показатели_индикаторы'!$A$9:$J$103,8,FALSE))</f>
        <v/>
      </c>
      <c r="O74" s="10" t="str">
        <f>IF(VLOOKUP(A74,'Р 1. "Общие сведения"'!$I$8:$L$179,4,FALSE)="","",VLOOKUP(A74,'Р 1. "Общие сведения"'!$I$8:$L$179,4,FALSE))</f>
        <v/>
      </c>
    </row>
    <row r="75" spans="1:15" x14ac:dyDescent="0.25">
      <c r="A75" s="48" t="str">
        <f>IF('Р 1. "Общие сведения"'!I75="","",'Р 1. "Общие сведения"'!I75)</f>
        <v xml:space="preserve"> </v>
      </c>
      <c r="B75" s="44" t="str">
        <f>IF('Р 1. "Общие сведения"'!J75="","",'Р 1. "Общие сведения"'!J75)</f>
        <v/>
      </c>
      <c r="C75" s="44" t="str">
        <f>IF('Р 1. "Общие сведения"'!H75="","",'Р 1. "Общие сведения"'!H75)</f>
        <v/>
      </c>
      <c r="D75" s="44" t="str">
        <f>IF('Р 1. "Общие сведения"'!D75="","",'Р 1. "Общие сведения"'!D75)</f>
        <v/>
      </c>
      <c r="E75" s="44" t="str">
        <f>IF('Р 1. "Общие сведения"'!K75="","",'Р 1. "Общие сведения"'!K75)</f>
        <v/>
      </c>
      <c r="F75" s="45" t="str">
        <f>IF(OR(Таблица26[[#This Row],[Столбец1]]="",Таблица26[[#This Row],[Столбец5]]="",),"",VLOOKUP(A75,Таблица9[#All],2,FALSE))</f>
        <v/>
      </c>
      <c r="G75" s="47" t="str">
        <f>IF(OR(Таблица26[[#This Row],[Столбец1]]="",Таблица26[[#This Row],[Столбец5]]=""),"",VLOOKUP(A75,'Р 5. Финансирование'!$A$9:$D$100,3,FALSE))</f>
        <v/>
      </c>
      <c r="H75" s="47" t="str">
        <f>IF(OR(Таблица26[[#This Row],[Столбец1]]="",Таблица26[[#This Row],[Столбец5]]=""),"",VLOOKUP(A75,'Р 5. Финансирование'!$A$9:$D$100,4,FALSE))</f>
        <v/>
      </c>
      <c r="I75" s="6" t="str">
        <f>IF(OR(Таблица26[[#This Row],[Столбец5]]="отсутствует",Таблица26[[#This Row],[Столбец5]]=""),"",VLOOKUP(A75,'Р 4. Показатели_индикаторы'!$A$9:$J$103,3,FALSE))</f>
        <v/>
      </c>
      <c r="J75" s="6" t="str">
        <f>IF(OR(Таблица26[[#This Row],[Столбец5]]="отсутствует",Таблица26[[#This Row],[Столбец5]]=""),"",VLOOKUP(A75,'Р 4. Показатели_индикаторы'!$A$9:$J$103,4,FALSE))</f>
        <v/>
      </c>
      <c r="K75" s="6" t="str">
        <f>IF(OR(Таблица26[[#This Row],[Столбец1]]="",Таблица26[[#This Row],[Столбец5]]="",Таблица26[[#This Row],[Столбец5]]="отсутствует"),"",VLOOKUP(A75,'Р 4. Показатели_индикаторы'!$A$9:$J$103,5,FALSE))</f>
        <v/>
      </c>
      <c r="L75" s="6" t="str">
        <f>IF(OR(Таблица26[[#This Row],[Столбец1]]="",Таблица26[[#This Row],[Столбец5]]="",Таблица26[[#This Row],[Столбец5]]="отсутствует"),"",VLOOKUP(A75,'Р 4. Показатели_индикаторы'!$A$9:$J$103,6,FALSE))</f>
        <v/>
      </c>
      <c r="M75" s="6" t="str">
        <f>IF(OR(Таблица26[[#This Row],[Столбец1]]="",Таблица26[[#This Row],[Столбец5]]="",Таблица26[[#This Row],[Столбец5]]="отсутствует"),"",VLOOKUP(A75,'Р 4. Показатели_индикаторы'!$A$9:$J$103,7,FALSE))</f>
        <v/>
      </c>
      <c r="N75" s="6" t="str">
        <f>IF(OR(Таблица26[[#This Row],[Столбец1]]="",Таблица26[[#This Row],[Столбец5]]="",Таблица26[[#This Row],[Столбец5]]="отсутствует"),"",VLOOKUP(A75,'Р 4. Показатели_индикаторы'!$A$9:$J$103,8,FALSE))</f>
        <v/>
      </c>
      <c r="O75" s="10" t="str">
        <f>IF(VLOOKUP(A75,'Р 1. "Общие сведения"'!$I$8:$L$179,4,FALSE)="","",VLOOKUP(A75,'Р 1. "Общие сведения"'!$I$8:$L$179,4,FALSE))</f>
        <v/>
      </c>
    </row>
    <row r="76" spans="1:15" x14ac:dyDescent="0.25">
      <c r="A76" s="48" t="str">
        <f>IF('Р 1. "Общие сведения"'!I76="","",'Р 1. "Общие сведения"'!I76)</f>
        <v xml:space="preserve"> </v>
      </c>
      <c r="B76" s="44" t="str">
        <f>IF('Р 1. "Общие сведения"'!J76="","",'Р 1. "Общие сведения"'!J76)</f>
        <v/>
      </c>
      <c r="C76" s="44" t="str">
        <f>IF('Р 1. "Общие сведения"'!H76="","",'Р 1. "Общие сведения"'!H76)</f>
        <v/>
      </c>
      <c r="D76" s="44" t="str">
        <f>IF('Р 1. "Общие сведения"'!D76="","",'Р 1. "Общие сведения"'!D76)</f>
        <v/>
      </c>
      <c r="E76" s="44" t="str">
        <f>IF('Р 1. "Общие сведения"'!K76="","",'Р 1. "Общие сведения"'!K76)</f>
        <v/>
      </c>
      <c r="F76" s="45" t="str">
        <f>IF(OR(Таблица26[[#This Row],[Столбец1]]="",Таблица26[[#This Row],[Столбец5]]="",),"",VLOOKUP(A76,Таблица9[#All],2,FALSE))</f>
        <v/>
      </c>
      <c r="G76" s="47" t="str">
        <f>IF(OR(Таблица26[[#This Row],[Столбец1]]="",Таблица26[[#This Row],[Столбец5]]=""),"",VLOOKUP(A76,'Р 5. Финансирование'!$A$9:$D$100,3,FALSE))</f>
        <v/>
      </c>
      <c r="H76" s="47" t="str">
        <f>IF(OR(Таблица26[[#This Row],[Столбец1]]="",Таблица26[[#This Row],[Столбец5]]=""),"",VLOOKUP(A76,'Р 5. Финансирование'!$A$9:$D$100,4,FALSE))</f>
        <v/>
      </c>
      <c r="I76" s="6" t="str">
        <f>IF(OR(Таблица26[[#This Row],[Столбец5]]="отсутствует",Таблица26[[#This Row],[Столбец5]]=""),"",VLOOKUP(A76,'Р 4. Показатели_индикаторы'!$A$9:$J$103,3,FALSE))</f>
        <v/>
      </c>
      <c r="J76" s="6" t="str">
        <f>IF(OR(Таблица26[[#This Row],[Столбец5]]="отсутствует",Таблица26[[#This Row],[Столбец5]]=""),"",VLOOKUP(A76,'Р 4. Показатели_индикаторы'!$A$9:$J$103,4,FALSE))</f>
        <v/>
      </c>
      <c r="K76" s="6" t="str">
        <f>IF(OR(Таблица26[[#This Row],[Столбец1]]="",Таблица26[[#This Row],[Столбец5]]="",Таблица26[[#This Row],[Столбец5]]="отсутствует"),"",VLOOKUP(A76,'Р 4. Показатели_индикаторы'!$A$9:$J$103,5,FALSE))</f>
        <v/>
      </c>
      <c r="L76" s="6" t="str">
        <f>IF(OR(Таблица26[[#This Row],[Столбец1]]="",Таблица26[[#This Row],[Столбец5]]="",Таблица26[[#This Row],[Столбец5]]="отсутствует"),"",VLOOKUP(A76,'Р 4. Показатели_индикаторы'!$A$9:$J$103,6,FALSE))</f>
        <v/>
      </c>
      <c r="M76" s="6" t="str">
        <f>IF(OR(Таблица26[[#This Row],[Столбец1]]="",Таблица26[[#This Row],[Столбец5]]="",Таблица26[[#This Row],[Столбец5]]="отсутствует"),"",VLOOKUP(A76,'Р 4. Показатели_индикаторы'!$A$9:$J$103,7,FALSE))</f>
        <v/>
      </c>
      <c r="N76" s="6" t="str">
        <f>IF(OR(Таблица26[[#This Row],[Столбец1]]="",Таблица26[[#This Row],[Столбец5]]="",Таблица26[[#This Row],[Столбец5]]="отсутствует"),"",VLOOKUP(A76,'Р 4. Показатели_индикаторы'!$A$9:$J$103,8,FALSE))</f>
        <v/>
      </c>
      <c r="O76" s="10" t="str">
        <f>IF(VLOOKUP(A76,'Р 1. "Общие сведения"'!$I$8:$L$179,4,FALSE)="","",VLOOKUP(A76,'Р 1. "Общие сведения"'!$I$8:$L$179,4,FALSE))</f>
        <v/>
      </c>
    </row>
    <row r="77" spans="1:15" x14ac:dyDescent="0.25">
      <c r="A77" s="48" t="str">
        <f>IF('Р 1. "Общие сведения"'!I77="","",'Р 1. "Общие сведения"'!I77)</f>
        <v xml:space="preserve"> </v>
      </c>
      <c r="B77" s="44" t="str">
        <f>IF('Р 1. "Общие сведения"'!J77="","",'Р 1. "Общие сведения"'!J77)</f>
        <v/>
      </c>
      <c r="C77" s="44" t="str">
        <f>IF('Р 1. "Общие сведения"'!H77="","",'Р 1. "Общие сведения"'!H77)</f>
        <v/>
      </c>
      <c r="D77" s="44" t="str">
        <f>IF('Р 1. "Общие сведения"'!D77="","",'Р 1. "Общие сведения"'!D77)</f>
        <v/>
      </c>
      <c r="E77" s="44" t="str">
        <f>IF('Р 1. "Общие сведения"'!K77="","",'Р 1. "Общие сведения"'!K77)</f>
        <v/>
      </c>
      <c r="F77" s="45" t="str">
        <f>IF(OR(Таблица26[[#This Row],[Столбец1]]="",Таблица26[[#This Row],[Столбец5]]="",),"",VLOOKUP(A77,Таблица9[#All],2,FALSE))</f>
        <v/>
      </c>
      <c r="G77" s="47" t="str">
        <f>IF(OR(Таблица26[[#This Row],[Столбец1]]="",Таблица26[[#This Row],[Столбец5]]=""),"",VLOOKUP(A77,'Р 5. Финансирование'!$A$9:$D$100,3,FALSE))</f>
        <v/>
      </c>
      <c r="H77" s="47" t="str">
        <f>IF(OR(Таблица26[[#This Row],[Столбец1]]="",Таблица26[[#This Row],[Столбец5]]=""),"",VLOOKUP(A77,'Р 5. Финансирование'!$A$9:$D$100,4,FALSE))</f>
        <v/>
      </c>
      <c r="I77" s="6" t="str">
        <f>IF(OR(Таблица26[[#This Row],[Столбец5]]="отсутствует",Таблица26[[#This Row],[Столбец5]]=""),"",VLOOKUP(A77,'Р 4. Показатели_индикаторы'!$A$9:$J$103,3,FALSE))</f>
        <v/>
      </c>
      <c r="J77" s="6" t="str">
        <f>IF(OR(Таблица26[[#This Row],[Столбец5]]="отсутствует",Таблица26[[#This Row],[Столбец5]]=""),"",VLOOKUP(A77,'Р 4. Показатели_индикаторы'!$A$9:$J$103,4,FALSE))</f>
        <v/>
      </c>
      <c r="K77" s="6" t="str">
        <f>IF(OR(Таблица26[[#This Row],[Столбец1]]="",Таблица26[[#This Row],[Столбец5]]="",Таблица26[[#This Row],[Столбец5]]="отсутствует"),"",VLOOKUP(A77,'Р 4. Показатели_индикаторы'!$A$9:$J$103,5,FALSE))</f>
        <v/>
      </c>
      <c r="L77" s="6" t="str">
        <f>IF(OR(Таблица26[[#This Row],[Столбец1]]="",Таблица26[[#This Row],[Столбец5]]="",Таблица26[[#This Row],[Столбец5]]="отсутствует"),"",VLOOKUP(A77,'Р 4. Показатели_индикаторы'!$A$9:$J$103,6,FALSE))</f>
        <v/>
      </c>
      <c r="M77" s="6" t="str">
        <f>IF(OR(Таблица26[[#This Row],[Столбец1]]="",Таблица26[[#This Row],[Столбец5]]="",Таблица26[[#This Row],[Столбец5]]="отсутствует"),"",VLOOKUP(A77,'Р 4. Показатели_индикаторы'!$A$9:$J$103,7,FALSE))</f>
        <v/>
      </c>
      <c r="N77" s="6" t="str">
        <f>IF(OR(Таблица26[[#This Row],[Столбец1]]="",Таблица26[[#This Row],[Столбец5]]="",Таблица26[[#This Row],[Столбец5]]="отсутствует"),"",VLOOKUP(A77,'Р 4. Показатели_индикаторы'!$A$9:$J$103,8,FALSE))</f>
        <v/>
      </c>
      <c r="O77" s="10" t="str">
        <f>IF(VLOOKUP(A77,'Р 1. "Общие сведения"'!$I$8:$L$179,4,FALSE)="","",VLOOKUP(A77,'Р 1. "Общие сведения"'!$I$8:$L$179,4,FALSE))</f>
        <v/>
      </c>
    </row>
    <row r="78" spans="1:15" x14ac:dyDescent="0.25">
      <c r="A78" s="48" t="str">
        <f>IF('Р 1. "Общие сведения"'!I78="","",'Р 1. "Общие сведения"'!I78)</f>
        <v xml:space="preserve"> </v>
      </c>
      <c r="B78" s="44" t="str">
        <f>IF('Р 1. "Общие сведения"'!J78="","",'Р 1. "Общие сведения"'!J78)</f>
        <v/>
      </c>
      <c r="C78" s="44" t="str">
        <f>IF('Р 1. "Общие сведения"'!H78="","",'Р 1. "Общие сведения"'!H78)</f>
        <v/>
      </c>
      <c r="D78" s="44" t="str">
        <f>IF('Р 1. "Общие сведения"'!D78="","",'Р 1. "Общие сведения"'!D78)</f>
        <v/>
      </c>
      <c r="E78" s="44" t="str">
        <f>IF('Р 1. "Общие сведения"'!K78="","",'Р 1. "Общие сведения"'!K78)</f>
        <v/>
      </c>
      <c r="F78" s="45" t="str">
        <f>IF(OR(Таблица26[[#This Row],[Столбец1]]="",Таблица26[[#This Row],[Столбец5]]="",),"",VLOOKUP(A78,Таблица9[#All],2,FALSE))</f>
        <v/>
      </c>
      <c r="G78" s="47" t="str">
        <f>IF(OR(Таблица26[[#This Row],[Столбец1]]="",Таблица26[[#This Row],[Столбец5]]=""),"",VLOOKUP(A78,'Р 5. Финансирование'!$A$9:$D$100,3,FALSE))</f>
        <v/>
      </c>
      <c r="H78" s="47" t="str">
        <f>IF(OR(Таблица26[[#This Row],[Столбец1]]="",Таблица26[[#This Row],[Столбец5]]=""),"",VLOOKUP(A78,'Р 5. Финансирование'!$A$9:$D$100,4,FALSE))</f>
        <v/>
      </c>
      <c r="I78" s="6" t="str">
        <f>IF(OR(Таблица26[[#This Row],[Столбец5]]="отсутствует",Таблица26[[#This Row],[Столбец5]]=""),"",VLOOKUP(A78,'Р 4. Показатели_индикаторы'!$A$9:$J$103,3,FALSE))</f>
        <v/>
      </c>
      <c r="J78" s="6" t="str">
        <f>IF(OR(Таблица26[[#This Row],[Столбец5]]="отсутствует",Таблица26[[#This Row],[Столбец5]]=""),"",VLOOKUP(A78,'Р 4. Показатели_индикаторы'!$A$9:$J$103,4,FALSE))</f>
        <v/>
      </c>
      <c r="K78" s="6" t="str">
        <f>IF(OR(Таблица26[[#This Row],[Столбец1]]="",Таблица26[[#This Row],[Столбец5]]="",Таблица26[[#This Row],[Столбец5]]="отсутствует"),"",VLOOKUP(A78,'Р 4. Показатели_индикаторы'!$A$9:$J$103,5,FALSE))</f>
        <v/>
      </c>
      <c r="L78" s="6" t="str">
        <f>IF(OR(Таблица26[[#This Row],[Столбец1]]="",Таблица26[[#This Row],[Столбец5]]="",Таблица26[[#This Row],[Столбец5]]="отсутствует"),"",VLOOKUP(A78,'Р 4. Показатели_индикаторы'!$A$9:$J$103,6,FALSE))</f>
        <v/>
      </c>
      <c r="M78" s="6" t="str">
        <f>IF(OR(Таблица26[[#This Row],[Столбец1]]="",Таблица26[[#This Row],[Столбец5]]="",Таблица26[[#This Row],[Столбец5]]="отсутствует"),"",VLOOKUP(A78,'Р 4. Показатели_индикаторы'!$A$9:$J$103,7,FALSE))</f>
        <v/>
      </c>
      <c r="N78" s="6" t="str">
        <f>IF(OR(Таблица26[[#This Row],[Столбец1]]="",Таблица26[[#This Row],[Столбец5]]="",Таблица26[[#This Row],[Столбец5]]="отсутствует"),"",VLOOKUP(A78,'Р 4. Показатели_индикаторы'!$A$9:$J$103,8,FALSE))</f>
        <v/>
      </c>
      <c r="O78" s="10" t="str">
        <f>IF(VLOOKUP(A78,'Р 1. "Общие сведения"'!$I$8:$L$179,4,FALSE)="","",VLOOKUP(A78,'Р 1. "Общие сведения"'!$I$8:$L$179,4,FALSE))</f>
        <v/>
      </c>
    </row>
    <row r="79" spans="1:15" x14ac:dyDescent="0.25">
      <c r="A79" s="48" t="str">
        <f>IF('Р 1. "Общие сведения"'!I79="","",'Р 1. "Общие сведения"'!I79)</f>
        <v xml:space="preserve"> </v>
      </c>
      <c r="B79" s="44" t="str">
        <f>IF('Р 1. "Общие сведения"'!J79="","",'Р 1. "Общие сведения"'!J79)</f>
        <v/>
      </c>
      <c r="C79" s="44" t="str">
        <f>IF('Р 1. "Общие сведения"'!H79="","",'Р 1. "Общие сведения"'!H79)</f>
        <v/>
      </c>
      <c r="D79" s="44" t="str">
        <f>IF('Р 1. "Общие сведения"'!D79="","",'Р 1. "Общие сведения"'!D79)</f>
        <v/>
      </c>
      <c r="E79" s="44" t="str">
        <f>IF('Р 1. "Общие сведения"'!K79="","",'Р 1. "Общие сведения"'!K79)</f>
        <v/>
      </c>
      <c r="F79" s="45" t="str">
        <f>IF(OR(Таблица26[[#This Row],[Столбец1]]="",Таблица26[[#This Row],[Столбец5]]="",),"",VLOOKUP(A79,Таблица9[#All],2,FALSE))</f>
        <v/>
      </c>
      <c r="G79" s="47" t="str">
        <f>IF(OR(Таблица26[[#This Row],[Столбец1]]="",Таблица26[[#This Row],[Столбец5]]=""),"",VLOOKUP(A79,'Р 5. Финансирование'!$A$9:$D$100,3,FALSE))</f>
        <v/>
      </c>
      <c r="H79" s="47" t="str">
        <f>IF(OR(Таблица26[[#This Row],[Столбец1]]="",Таблица26[[#This Row],[Столбец5]]=""),"",VLOOKUP(A79,'Р 5. Финансирование'!$A$9:$D$100,4,FALSE))</f>
        <v/>
      </c>
      <c r="I79" s="6" t="str">
        <f>IF(OR(Таблица26[[#This Row],[Столбец5]]="отсутствует",Таблица26[[#This Row],[Столбец5]]=""),"",VLOOKUP(A79,'Р 4. Показатели_индикаторы'!$A$9:$J$103,3,FALSE))</f>
        <v/>
      </c>
      <c r="J79" s="6" t="str">
        <f>IF(OR(Таблица26[[#This Row],[Столбец5]]="отсутствует",Таблица26[[#This Row],[Столбец5]]=""),"",VLOOKUP(A79,'Р 4. Показатели_индикаторы'!$A$9:$J$103,4,FALSE))</f>
        <v/>
      </c>
      <c r="K79" s="6" t="str">
        <f>IF(OR(Таблица26[[#This Row],[Столбец1]]="",Таблица26[[#This Row],[Столбец5]]="",Таблица26[[#This Row],[Столбец5]]="отсутствует"),"",VLOOKUP(A79,'Р 4. Показатели_индикаторы'!$A$9:$J$103,5,FALSE))</f>
        <v/>
      </c>
      <c r="L79" s="6" t="str">
        <f>IF(OR(Таблица26[[#This Row],[Столбец1]]="",Таблица26[[#This Row],[Столбец5]]="",Таблица26[[#This Row],[Столбец5]]="отсутствует"),"",VLOOKUP(A79,'Р 4. Показатели_индикаторы'!$A$9:$J$103,6,FALSE))</f>
        <v/>
      </c>
      <c r="M79" s="6" t="str">
        <f>IF(OR(Таблица26[[#This Row],[Столбец1]]="",Таблица26[[#This Row],[Столбец5]]="",Таблица26[[#This Row],[Столбец5]]="отсутствует"),"",VLOOKUP(A79,'Р 4. Показатели_индикаторы'!$A$9:$J$103,7,FALSE))</f>
        <v/>
      </c>
      <c r="N79" s="6" t="str">
        <f>IF(OR(Таблица26[[#This Row],[Столбец1]]="",Таблица26[[#This Row],[Столбец5]]="",Таблица26[[#This Row],[Столбец5]]="отсутствует"),"",VLOOKUP(A79,'Р 4. Показатели_индикаторы'!$A$9:$J$103,8,FALSE))</f>
        <v/>
      </c>
      <c r="O79" s="10" t="str">
        <f>IF(VLOOKUP(A79,'Р 1. "Общие сведения"'!$I$8:$L$179,4,FALSE)="","",VLOOKUP(A79,'Р 1. "Общие сведения"'!$I$8:$L$179,4,FALSE))</f>
        <v/>
      </c>
    </row>
    <row r="80" spans="1:15" x14ac:dyDescent="0.25">
      <c r="A80" s="48" t="str">
        <f>IF('Р 1. "Общие сведения"'!I80="","",'Р 1. "Общие сведения"'!I80)</f>
        <v xml:space="preserve"> </v>
      </c>
      <c r="B80" s="44" t="str">
        <f>IF('Р 1. "Общие сведения"'!J80="","",'Р 1. "Общие сведения"'!J80)</f>
        <v/>
      </c>
      <c r="C80" s="44" t="str">
        <f>IF('Р 1. "Общие сведения"'!H80="","",'Р 1. "Общие сведения"'!H80)</f>
        <v/>
      </c>
      <c r="D80" s="44" t="str">
        <f>IF('Р 1. "Общие сведения"'!D80="","",'Р 1. "Общие сведения"'!D80)</f>
        <v/>
      </c>
      <c r="E80" s="44" t="str">
        <f>IF('Р 1. "Общие сведения"'!K80="","",'Р 1. "Общие сведения"'!K80)</f>
        <v/>
      </c>
      <c r="F80" s="45" t="str">
        <f>IF(OR(Таблица26[[#This Row],[Столбец1]]="",Таблица26[[#This Row],[Столбец5]]="",),"",VLOOKUP(A80,Таблица9[#All],2,FALSE))</f>
        <v/>
      </c>
      <c r="G80" s="47" t="str">
        <f>IF(OR(Таблица26[[#This Row],[Столбец1]]="",Таблица26[[#This Row],[Столбец5]]=""),"",VLOOKUP(A80,'Р 5. Финансирование'!$A$9:$D$100,3,FALSE))</f>
        <v/>
      </c>
      <c r="H80" s="47" t="str">
        <f>IF(OR(Таблица26[[#This Row],[Столбец1]]="",Таблица26[[#This Row],[Столбец5]]=""),"",VLOOKUP(A80,'Р 5. Финансирование'!$A$9:$D$100,4,FALSE))</f>
        <v/>
      </c>
      <c r="I80" s="6" t="str">
        <f>IF(OR(Таблица26[[#This Row],[Столбец5]]="отсутствует",Таблица26[[#This Row],[Столбец5]]=""),"",VLOOKUP(A80,'Р 4. Показатели_индикаторы'!$A$9:$J$103,3,FALSE))</f>
        <v/>
      </c>
      <c r="J80" s="6" t="str">
        <f>IF(OR(Таблица26[[#This Row],[Столбец5]]="отсутствует",Таблица26[[#This Row],[Столбец5]]=""),"",VLOOKUP(A80,'Р 4. Показатели_индикаторы'!$A$9:$J$103,4,FALSE))</f>
        <v/>
      </c>
      <c r="K80" s="6" t="str">
        <f>IF(OR(Таблица26[[#This Row],[Столбец1]]="",Таблица26[[#This Row],[Столбец5]]="",Таблица26[[#This Row],[Столбец5]]="отсутствует"),"",VLOOKUP(A80,'Р 4. Показатели_индикаторы'!$A$9:$J$103,5,FALSE))</f>
        <v/>
      </c>
      <c r="L80" s="6" t="str">
        <f>IF(OR(Таблица26[[#This Row],[Столбец1]]="",Таблица26[[#This Row],[Столбец5]]="",Таблица26[[#This Row],[Столбец5]]="отсутствует"),"",VLOOKUP(A80,'Р 4. Показатели_индикаторы'!$A$9:$J$103,6,FALSE))</f>
        <v/>
      </c>
      <c r="M80" s="6" t="str">
        <f>IF(OR(Таблица26[[#This Row],[Столбец1]]="",Таблица26[[#This Row],[Столбец5]]="",Таблица26[[#This Row],[Столбец5]]="отсутствует"),"",VLOOKUP(A80,'Р 4. Показатели_индикаторы'!$A$9:$J$103,7,FALSE))</f>
        <v/>
      </c>
      <c r="N80" s="6" t="str">
        <f>IF(OR(Таблица26[[#This Row],[Столбец1]]="",Таблица26[[#This Row],[Столбец5]]="",Таблица26[[#This Row],[Столбец5]]="отсутствует"),"",VLOOKUP(A80,'Р 4. Показатели_индикаторы'!$A$9:$J$103,8,FALSE))</f>
        <v/>
      </c>
      <c r="O80" s="10" t="str">
        <f>IF(VLOOKUP(A80,'Р 1. "Общие сведения"'!$I$8:$L$179,4,FALSE)="","",VLOOKUP(A80,'Р 1. "Общие сведения"'!$I$8:$L$179,4,FALSE))</f>
        <v/>
      </c>
    </row>
    <row r="81" spans="1:15" x14ac:dyDescent="0.25">
      <c r="A81" s="48" t="str">
        <f>IF('Р 1. "Общие сведения"'!I81="","",'Р 1. "Общие сведения"'!I81)</f>
        <v xml:space="preserve"> </v>
      </c>
      <c r="B81" s="44" t="str">
        <f>IF('Р 1. "Общие сведения"'!J81="","",'Р 1. "Общие сведения"'!J81)</f>
        <v/>
      </c>
      <c r="C81" s="44" t="str">
        <f>IF('Р 1. "Общие сведения"'!H81="","",'Р 1. "Общие сведения"'!H81)</f>
        <v/>
      </c>
      <c r="D81" s="44" t="str">
        <f>IF('Р 1. "Общие сведения"'!D81="","",'Р 1. "Общие сведения"'!D81)</f>
        <v/>
      </c>
      <c r="E81" s="44" t="str">
        <f>IF('Р 1. "Общие сведения"'!K81="","",'Р 1. "Общие сведения"'!K81)</f>
        <v/>
      </c>
      <c r="F81" s="45" t="str">
        <f>IF(OR(Таблица26[[#This Row],[Столбец1]]="",Таблица26[[#This Row],[Столбец5]]="",),"",VLOOKUP(A81,Таблица9[#All],2,FALSE))</f>
        <v/>
      </c>
      <c r="G81" s="47" t="str">
        <f>IF(OR(Таблица26[[#This Row],[Столбец1]]="",Таблица26[[#This Row],[Столбец5]]=""),"",VLOOKUP(A81,'Р 5. Финансирование'!$A$9:$D$100,3,FALSE))</f>
        <v/>
      </c>
      <c r="H81" s="47" t="str">
        <f>IF(OR(Таблица26[[#This Row],[Столбец1]]="",Таблица26[[#This Row],[Столбец5]]=""),"",VLOOKUP(A81,'Р 5. Финансирование'!$A$9:$D$100,4,FALSE))</f>
        <v/>
      </c>
      <c r="I81" s="6" t="str">
        <f>IF(OR(Таблица26[[#This Row],[Столбец5]]="отсутствует",Таблица26[[#This Row],[Столбец5]]=""),"",VLOOKUP(A81,'Р 4. Показатели_индикаторы'!$A$9:$J$103,3,FALSE))</f>
        <v/>
      </c>
      <c r="J81" s="6" t="str">
        <f>IF(OR(Таблица26[[#This Row],[Столбец5]]="отсутствует",Таблица26[[#This Row],[Столбец5]]=""),"",VLOOKUP(A81,'Р 4. Показатели_индикаторы'!$A$9:$J$103,4,FALSE))</f>
        <v/>
      </c>
      <c r="K81" s="6" t="str">
        <f>IF(OR(Таблица26[[#This Row],[Столбец1]]="",Таблица26[[#This Row],[Столбец5]]="",Таблица26[[#This Row],[Столбец5]]="отсутствует"),"",VLOOKUP(A81,'Р 4. Показатели_индикаторы'!$A$9:$J$103,5,FALSE))</f>
        <v/>
      </c>
      <c r="L81" s="6" t="str">
        <f>IF(OR(Таблица26[[#This Row],[Столбец1]]="",Таблица26[[#This Row],[Столбец5]]="",Таблица26[[#This Row],[Столбец5]]="отсутствует"),"",VLOOKUP(A81,'Р 4. Показатели_индикаторы'!$A$9:$J$103,6,FALSE))</f>
        <v/>
      </c>
      <c r="M81" s="6" t="str">
        <f>IF(OR(Таблица26[[#This Row],[Столбец1]]="",Таблица26[[#This Row],[Столбец5]]="",Таблица26[[#This Row],[Столбец5]]="отсутствует"),"",VLOOKUP(A81,'Р 4. Показатели_индикаторы'!$A$9:$J$103,7,FALSE))</f>
        <v/>
      </c>
      <c r="N81" s="6" t="str">
        <f>IF(OR(Таблица26[[#This Row],[Столбец1]]="",Таблица26[[#This Row],[Столбец5]]="",Таблица26[[#This Row],[Столбец5]]="отсутствует"),"",VLOOKUP(A81,'Р 4. Показатели_индикаторы'!$A$9:$J$103,8,FALSE))</f>
        <v/>
      </c>
      <c r="O81" s="10" t="str">
        <f>IF(VLOOKUP(A81,'Р 1. "Общие сведения"'!$I$8:$L$179,4,FALSE)="","",VLOOKUP(A81,'Р 1. "Общие сведения"'!$I$8:$L$179,4,FALSE))</f>
        <v/>
      </c>
    </row>
    <row r="82" spans="1:15" x14ac:dyDescent="0.25">
      <c r="A82" s="48" t="str">
        <f>IF('Р 1. "Общие сведения"'!I82="","",'Р 1. "Общие сведения"'!I82)</f>
        <v xml:space="preserve"> </v>
      </c>
      <c r="B82" s="44" t="str">
        <f>IF('Р 1. "Общие сведения"'!J82="","",'Р 1. "Общие сведения"'!J82)</f>
        <v/>
      </c>
      <c r="C82" s="44" t="str">
        <f>IF('Р 1. "Общие сведения"'!H82="","",'Р 1. "Общие сведения"'!H82)</f>
        <v/>
      </c>
      <c r="D82" s="44" t="str">
        <f>IF('Р 1. "Общие сведения"'!D82="","",'Р 1. "Общие сведения"'!D82)</f>
        <v/>
      </c>
      <c r="E82" s="44" t="str">
        <f>IF('Р 1. "Общие сведения"'!K82="","",'Р 1. "Общие сведения"'!K82)</f>
        <v/>
      </c>
      <c r="F82" s="45" t="str">
        <f>IF(OR(Таблица26[[#This Row],[Столбец1]]="",Таблица26[[#This Row],[Столбец5]]="",),"",VLOOKUP(A82,Таблица9[#All],2,FALSE))</f>
        <v/>
      </c>
      <c r="G82" s="47" t="str">
        <f>IF(OR(Таблица26[[#This Row],[Столбец1]]="",Таблица26[[#This Row],[Столбец5]]=""),"",VLOOKUP(A82,'Р 5. Финансирование'!$A$9:$D$100,3,FALSE))</f>
        <v/>
      </c>
      <c r="H82" s="47" t="str">
        <f>IF(OR(Таблица26[[#This Row],[Столбец1]]="",Таблица26[[#This Row],[Столбец5]]=""),"",VLOOKUP(A82,'Р 5. Финансирование'!$A$9:$D$100,4,FALSE))</f>
        <v/>
      </c>
      <c r="I82" s="6" t="str">
        <f>IF(OR(Таблица26[[#This Row],[Столбец5]]="отсутствует",Таблица26[[#This Row],[Столбец5]]=""),"",VLOOKUP(A82,'Р 4. Показатели_индикаторы'!$A$9:$J$103,3,FALSE))</f>
        <v/>
      </c>
      <c r="J82" s="6" t="str">
        <f>IF(OR(Таблица26[[#This Row],[Столбец5]]="отсутствует",Таблица26[[#This Row],[Столбец5]]=""),"",VLOOKUP(A82,'Р 4. Показатели_индикаторы'!$A$9:$J$103,4,FALSE))</f>
        <v/>
      </c>
      <c r="K82" s="6" t="str">
        <f>IF(OR(Таблица26[[#This Row],[Столбец1]]="",Таблица26[[#This Row],[Столбец5]]="",Таблица26[[#This Row],[Столбец5]]="отсутствует"),"",VLOOKUP(A82,'Р 4. Показатели_индикаторы'!$A$9:$J$103,5,FALSE))</f>
        <v/>
      </c>
      <c r="L82" s="6" t="str">
        <f>IF(OR(Таблица26[[#This Row],[Столбец1]]="",Таблица26[[#This Row],[Столбец5]]="",Таблица26[[#This Row],[Столбец5]]="отсутствует"),"",VLOOKUP(A82,'Р 4. Показатели_индикаторы'!$A$9:$J$103,6,FALSE))</f>
        <v/>
      </c>
      <c r="M82" s="6" t="str">
        <f>IF(OR(Таблица26[[#This Row],[Столбец1]]="",Таблица26[[#This Row],[Столбец5]]="",Таблица26[[#This Row],[Столбец5]]="отсутствует"),"",VLOOKUP(A82,'Р 4. Показатели_индикаторы'!$A$9:$J$103,7,FALSE))</f>
        <v/>
      </c>
      <c r="N82" s="6" t="str">
        <f>IF(OR(Таблица26[[#This Row],[Столбец1]]="",Таблица26[[#This Row],[Столбец5]]="",Таблица26[[#This Row],[Столбец5]]="отсутствует"),"",VLOOKUP(A82,'Р 4. Показатели_индикаторы'!$A$9:$J$103,8,FALSE))</f>
        <v/>
      </c>
      <c r="O82" s="10" t="str">
        <f>IF(VLOOKUP(A82,'Р 1. "Общие сведения"'!$I$8:$L$179,4,FALSE)="","",VLOOKUP(A82,'Р 1. "Общие сведения"'!$I$8:$L$179,4,FALSE))</f>
        <v/>
      </c>
    </row>
    <row r="83" spans="1:15" x14ac:dyDescent="0.25">
      <c r="A83" s="48" t="str">
        <f>IF('Р 1. "Общие сведения"'!I83="","",'Р 1. "Общие сведения"'!I83)</f>
        <v xml:space="preserve"> </v>
      </c>
      <c r="B83" s="44" t="str">
        <f>IF('Р 1. "Общие сведения"'!J83="","",'Р 1. "Общие сведения"'!J83)</f>
        <v/>
      </c>
      <c r="C83" s="44" t="str">
        <f>IF('Р 1. "Общие сведения"'!H83="","",'Р 1. "Общие сведения"'!H83)</f>
        <v/>
      </c>
      <c r="D83" s="44" t="str">
        <f>IF('Р 1. "Общие сведения"'!D83="","",'Р 1. "Общие сведения"'!D83)</f>
        <v/>
      </c>
      <c r="E83" s="44" t="str">
        <f>IF('Р 1. "Общие сведения"'!K83="","",'Р 1. "Общие сведения"'!K83)</f>
        <v/>
      </c>
      <c r="F83" s="45" t="str">
        <f>IF(OR(Таблица26[[#This Row],[Столбец1]]="",Таблица26[[#This Row],[Столбец5]]="",),"",VLOOKUP(A83,Таблица9[#All],2,FALSE))</f>
        <v/>
      </c>
      <c r="G83" s="47" t="str">
        <f>IF(OR(Таблица26[[#This Row],[Столбец1]]="",Таблица26[[#This Row],[Столбец5]]=""),"",VLOOKUP(A83,'Р 5. Финансирование'!$A$9:$D$100,3,FALSE))</f>
        <v/>
      </c>
      <c r="H83" s="47" t="str">
        <f>IF(OR(Таблица26[[#This Row],[Столбец1]]="",Таблица26[[#This Row],[Столбец5]]=""),"",VLOOKUP(A83,'Р 5. Финансирование'!$A$9:$D$100,4,FALSE))</f>
        <v/>
      </c>
      <c r="I83" s="6" t="str">
        <f>IF(OR(Таблица26[[#This Row],[Столбец5]]="отсутствует",Таблица26[[#This Row],[Столбец5]]=""),"",VLOOKUP(A83,'Р 4. Показатели_индикаторы'!$A$9:$J$103,3,FALSE))</f>
        <v/>
      </c>
      <c r="J83" s="6" t="str">
        <f>IF(OR(Таблица26[[#This Row],[Столбец5]]="отсутствует",Таблица26[[#This Row],[Столбец5]]=""),"",VLOOKUP(A83,'Р 4. Показатели_индикаторы'!$A$9:$J$103,4,FALSE))</f>
        <v/>
      </c>
      <c r="K83" s="6" t="str">
        <f>IF(OR(Таблица26[[#This Row],[Столбец1]]="",Таблица26[[#This Row],[Столбец5]]="",Таблица26[[#This Row],[Столбец5]]="отсутствует"),"",VLOOKUP(A83,'Р 4. Показатели_индикаторы'!$A$9:$J$103,5,FALSE))</f>
        <v/>
      </c>
      <c r="L83" s="6" t="str">
        <f>IF(OR(Таблица26[[#This Row],[Столбец1]]="",Таблица26[[#This Row],[Столбец5]]="",Таблица26[[#This Row],[Столбец5]]="отсутствует"),"",VLOOKUP(A83,'Р 4. Показатели_индикаторы'!$A$9:$J$103,6,FALSE))</f>
        <v/>
      </c>
      <c r="M83" s="6" t="str">
        <f>IF(OR(Таблица26[[#This Row],[Столбец1]]="",Таблица26[[#This Row],[Столбец5]]="",Таблица26[[#This Row],[Столбец5]]="отсутствует"),"",VLOOKUP(A83,'Р 4. Показатели_индикаторы'!$A$9:$J$103,7,FALSE))</f>
        <v/>
      </c>
      <c r="N83" s="6" t="str">
        <f>IF(OR(Таблица26[[#This Row],[Столбец1]]="",Таблица26[[#This Row],[Столбец5]]="",Таблица26[[#This Row],[Столбец5]]="отсутствует"),"",VLOOKUP(A83,'Р 4. Показатели_индикаторы'!$A$9:$J$103,8,FALSE))</f>
        <v/>
      </c>
      <c r="O83" s="10" t="str">
        <f>IF(VLOOKUP(A83,'Р 1. "Общие сведения"'!$I$8:$L$179,4,FALSE)="","",VLOOKUP(A83,'Р 1. "Общие сведения"'!$I$8:$L$179,4,FALSE))</f>
        <v/>
      </c>
    </row>
    <row r="84" spans="1:15" x14ac:dyDescent="0.25">
      <c r="A84" s="48" t="str">
        <f>IF('Р 1. "Общие сведения"'!I84="","",'Р 1. "Общие сведения"'!I84)</f>
        <v xml:space="preserve"> </v>
      </c>
      <c r="B84" s="44" t="str">
        <f>IF('Р 1. "Общие сведения"'!J84="","",'Р 1. "Общие сведения"'!J84)</f>
        <v/>
      </c>
      <c r="C84" s="44" t="str">
        <f>IF('Р 1. "Общие сведения"'!H84="","",'Р 1. "Общие сведения"'!H84)</f>
        <v/>
      </c>
      <c r="D84" s="44" t="str">
        <f>IF('Р 1. "Общие сведения"'!D84="","",'Р 1. "Общие сведения"'!D84)</f>
        <v/>
      </c>
      <c r="E84" s="44" t="str">
        <f>IF('Р 1. "Общие сведения"'!K84="","",'Р 1. "Общие сведения"'!K84)</f>
        <v/>
      </c>
      <c r="F84" s="45" t="str">
        <f>IF(OR(Таблица26[[#This Row],[Столбец1]]="",Таблица26[[#This Row],[Столбец5]]="",),"",VLOOKUP(A84,Таблица9[#All],2,FALSE))</f>
        <v/>
      </c>
      <c r="G84" s="47" t="str">
        <f>IF(OR(Таблица26[[#This Row],[Столбец1]]="",Таблица26[[#This Row],[Столбец5]]=""),"",VLOOKUP(A84,'Р 5. Финансирование'!$A$9:$D$100,3,FALSE))</f>
        <v/>
      </c>
      <c r="H84" s="47" t="str">
        <f>IF(OR(Таблица26[[#This Row],[Столбец1]]="",Таблица26[[#This Row],[Столбец5]]=""),"",VLOOKUP(A84,'Р 5. Финансирование'!$A$9:$D$100,4,FALSE))</f>
        <v/>
      </c>
      <c r="I84" s="6" t="str">
        <f>IF(OR(Таблица26[[#This Row],[Столбец5]]="отсутствует",Таблица26[[#This Row],[Столбец5]]=""),"",VLOOKUP(A84,'Р 4. Показатели_индикаторы'!$A$9:$J$103,3,FALSE))</f>
        <v/>
      </c>
      <c r="J84" s="6" t="str">
        <f>IF(OR(Таблица26[[#This Row],[Столбец5]]="отсутствует",Таблица26[[#This Row],[Столбец5]]=""),"",VLOOKUP(A84,'Р 4. Показатели_индикаторы'!$A$9:$J$103,4,FALSE))</f>
        <v/>
      </c>
      <c r="K84" s="6" t="str">
        <f>IF(OR(Таблица26[[#This Row],[Столбец1]]="",Таблица26[[#This Row],[Столбец5]]="",Таблица26[[#This Row],[Столбец5]]="отсутствует"),"",VLOOKUP(A84,'Р 4. Показатели_индикаторы'!$A$9:$J$103,5,FALSE))</f>
        <v/>
      </c>
      <c r="L84" s="6" t="str">
        <f>IF(OR(Таблица26[[#This Row],[Столбец1]]="",Таблица26[[#This Row],[Столбец5]]="",Таблица26[[#This Row],[Столбец5]]="отсутствует"),"",VLOOKUP(A84,'Р 4. Показатели_индикаторы'!$A$9:$J$103,6,FALSE))</f>
        <v/>
      </c>
      <c r="M84" s="6" t="str">
        <f>IF(OR(Таблица26[[#This Row],[Столбец1]]="",Таблица26[[#This Row],[Столбец5]]="",Таблица26[[#This Row],[Столбец5]]="отсутствует"),"",VLOOKUP(A84,'Р 4. Показатели_индикаторы'!$A$9:$J$103,7,FALSE))</f>
        <v/>
      </c>
      <c r="N84" s="6" t="str">
        <f>IF(OR(Таблица26[[#This Row],[Столбец1]]="",Таблица26[[#This Row],[Столбец5]]="",Таблица26[[#This Row],[Столбец5]]="отсутствует"),"",VLOOKUP(A84,'Р 4. Показатели_индикаторы'!$A$9:$J$103,8,FALSE))</f>
        <v/>
      </c>
      <c r="O84" s="10" t="str">
        <f>IF(VLOOKUP(A84,'Р 1. "Общие сведения"'!$I$8:$L$179,4,FALSE)="","",VLOOKUP(A84,'Р 1. "Общие сведения"'!$I$8:$L$179,4,FALSE))</f>
        <v/>
      </c>
    </row>
    <row r="85" spans="1:15" x14ac:dyDescent="0.25">
      <c r="A85" s="48" t="str">
        <f>IF('Р 1. "Общие сведения"'!I85="","",'Р 1. "Общие сведения"'!I85)</f>
        <v xml:space="preserve"> </v>
      </c>
      <c r="B85" s="44" t="str">
        <f>IF('Р 1. "Общие сведения"'!J85="","",'Р 1. "Общие сведения"'!J85)</f>
        <v/>
      </c>
      <c r="C85" s="44" t="str">
        <f>IF('Р 1. "Общие сведения"'!H85="","",'Р 1. "Общие сведения"'!H85)</f>
        <v/>
      </c>
      <c r="D85" s="44" t="str">
        <f>IF('Р 1. "Общие сведения"'!D85="","",'Р 1. "Общие сведения"'!D85)</f>
        <v/>
      </c>
      <c r="E85" s="44" t="str">
        <f>IF('Р 1. "Общие сведения"'!K85="","",'Р 1. "Общие сведения"'!K85)</f>
        <v/>
      </c>
      <c r="F85" s="45" t="str">
        <f>IF(OR(Таблица26[[#This Row],[Столбец1]]="",Таблица26[[#This Row],[Столбец5]]="",),"",VLOOKUP(A85,Таблица9[#All],2,FALSE))</f>
        <v/>
      </c>
      <c r="G85" s="47" t="str">
        <f>IF(OR(Таблица26[[#This Row],[Столбец1]]="",Таблица26[[#This Row],[Столбец5]]=""),"",VLOOKUP(A85,'Р 5. Финансирование'!$A$9:$D$100,3,FALSE))</f>
        <v/>
      </c>
      <c r="H85" s="47" t="str">
        <f>IF(OR(Таблица26[[#This Row],[Столбец1]]="",Таблица26[[#This Row],[Столбец5]]=""),"",VLOOKUP(A85,'Р 5. Финансирование'!$A$9:$D$100,4,FALSE))</f>
        <v/>
      </c>
      <c r="I85" s="6" t="str">
        <f>IF(OR(Таблица26[[#This Row],[Столбец5]]="отсутствует",Таблица26[[#This Row],[Столбец5]]=""),"",VLOOKUP(A85,'Р 4. Показатели_индикаторы'!$A$9:$J$103,3,FALSE))</f>
        <v/>
      </c>
      <c r="J85" s="6" t="str">
        <f>IF(OR(Таблица26[[#This Row],[Столбец5]]="отсутствует",Таблица26[[#This Row],[Столбец5]]=""),"",VLOOKUP(A85,'Р 4. Показатели_индикаторы'!$A$9:$J$103,4,FALSE))</f>
        <v/>
      </c>
      <c r="K85" s="6" t="str">
        <f>IF(OR(Таблица26[[#This Row],[Столбец1]]="",Таблица26[[#This Row],[Столбец5]]="",Таблица26[[#This Row],[Столбец5]]="отсутствует"),"",VLOOKUP(A85,'Р 4. Показатели_индикаторы'!$A$9:$J$103,5,FALSE))</f>
        <v/>
      </c>
      <c r="L85" s="6" t="str">
        <f>IF(OR(Таблица26[[#This Row],[Столбец1]]="",Таблица26[[#This Row],[Столбец5]]="",Таблица26[[#This Row],[Столбец5]]="отсутствует"),"",VLOOKUP(A85,'Р 4. Показатели_индикаторы'!$A$9:$J$103,6,FALSE))</f>
        <v/>
      </c>
      <c r="M85" s="6" t="str">
        <f>IF(OR(Таблица26[[#This Row],[Столбец1]]="",Таблица26[[#This Row],[Столбец5]]="",Таблица26[[#This Row],[Столбец5]]="отсутствует"),"",VLOOKUP(A85,'Р 4. Показатели_индикаторы'!$A$9:$J$103,7,FALSE))</f>
        <v/>
      </c>
      <c r="N85" s="6" t="str">
        <f>IF(OR(Таблица26[[#This Row],[Столбец1]]="",Таблица26[[#This Row],[Столбец5]]="",Таблица26[[#This Row],[Столбец5]]="отсутствует"),"",VLOOKUP(A85,'Р 4. Показатели_индикаторы'!$A$9:$J$103,8,FALSE))</f>
        <v/>
      </c>
      <c r="O85" s="10" t="str">
        <f>IF(VLOOKUP(A85,'Р 1. "Общие сведения"'!$I$8:$L$179,4,FALSE)="","",VLOOKUP(A85,'Р 1. "Общие сведения"'!$I$8:$L$179,4,FALSE))</f>
        <v/>
      </c>
    </row>
    <row r="86" spans="1:15" x14ac:dyDescent="0.25">
      <c r="A86" s="48" t="str">
        <f>IF('Р 1. "Общие сведения"'!I86="","",'Р 1. "Общие сведения"'!I86)</f>
        <v xml:space="preserve"> </v>
      </c>
      <c r="B86" s="44" t="str">
        <f>IF('Р 1. "Общие сведения"'!J86="","",'Р 1. "Общие сведения"'!J86)</f>
        <v/>
      </c>
      <c r="C86" s="44" t="str">
        <f>IF('Р 1. "Общие сведения"'!H86="","",'Р 1. "Общие сведения"'!H86)</f>
        <v/>
      </c>
      <c r="D86" s="44" t="str">
        <f>IF('Р 1. "Общие сведения"'!D86="","",'Р 1. "Общие сведения"'!D86)</f>
        <v/>
      </c>
      <c r="E86" s="44" t="str">
        <f>IF('Р 1. "Общие сведения"'!K86="","",'Р 1. "Общие сведения"'!K86)</f>
        <v/>
      </c>
      <c r="F86" s="45" t="str">
        <f>IF(OR(Таблица26[[#This Row],[Столбец1]]="",Таблица26[[#This Row],[Столбец5]]="",),"",VLOOKUP(A86,Таблица9[#All],2,FALSE))</f>
        <v/>
      </c>
      <c r="G86" s="47" t="str">
        <f>IF(OR(Таблица26[[#This Row],[Столбец1]]="",Таблица26[[#This Row],[Столбец5]]=""),"",VLOOKUP(A86,'Р 5. Финансирование'!$A$9:$D$100,3,FALSE))</f>
        <v/>
      </c>
      <c r="H86" s="47" t="str">
        <f>IF(OR(Таблица26[[#This Row],[Столбец1]]="",Таблица26[[#This Row],[Столбец5]]=""),"",VLOOKUP(A86,'Р 5. Финансирование'!$A$9:$D$100,4,FALSE))</f>
        <v/>
      </c>
      <c r="I86" s="6" t="str">
        <f>IF(OR(Таблица26[[#This Row],[Столбец5]]="отсутствует",Таблица26[[#This Row],[Столбец5]]=""),"",VLOOKUP(A86,'Р 4. Показатели_индикаторы'!$A$9:$J$103,3,FALSE))</f>
        <v/>
      </c>
      <c r="J86" s="6" t="str">
        <f>IF(OR(Таблица26[[#This Row],[Столбец5]]="отсутствует",Таблица26[[#This Row],[Столбец5]]=""),"",VLOOKUP(A86,'Р 4. Показатели_индикаторы'!$A$9:$J$103,4,FALSE))</f>
        <v/>
      </c>
      <c r="K86" s="6" t="str">
        <f>IF(OR(Таблица26[[#This Row],[Столбец1]]="",Таблица26[[#This Row],[Столбец5]]="",Таблица26[[#This Row],[Столбец5]]="отсутствует"),"",VLOOKUP(A86,'Р 4. Показатели_индикаторы'!$A$9:$J$103,5,FALSE))</f>
        <v/>
      </c>
      <c r="L86" s="6" t="str">
        <f>IF(OR(Таблица26[[#This Row],[Столбец1]]="",Таблица26[[#This Row],[Столбец5]]="",Таблица26[[#This Row],[Столбец5]]="отсутствует"),"",VLOOKUP(A86,'Р 4. Показатели_индикаторы'!$A$9:$J$103,6,FALSE))</f>
        <v/>
      </c>
      <c r="M86" s="6" t="str">
        <f>IF(OR(Таблица26[[#This Row],[Столбец1]]="",Таблица26[[#This Row],[Столбец5]]="",Таблица26[[#This Row],[Столбец5]]="отсутствует"),"",VLOOKUP(A86,'Р 4. Показатели_индикаторы'!$A$9:$J$103,7,FALSE))</f>
        <v/>
      </c>
      <c r="N86" s="6" t="str">
        <f>IF(OR(Таблица26[[#This Row],[Столбец1]]="",Таблица26[[#This Row],[Столбец5]]="",Таблица26[[#This Row],[Столбец5]]="отсутствует"),"",VLOOKUP(A86,'Р 4. Показатели_индикаторы'!$A$9:$J$103,8,FALSE))</f>
        <v/>
      </c>
      <c r="O86" s="10" t="str">
        <f>IF(VLOOKUP(A86,'Р 1. "Общие сведения"'!$I$8:$L$179,4,FALSE)="","",VLOOKUP(A86,'Р 1. "Общие сведения"'!$I$8:$L$179,4,FALSE))</f>
        <v/>
      </c>
    </row>
    <row r="87" spans="1:15" x14ac:dyDescent="0.25">
      <c r="A87" s="48" t="str">
        <f>IF('Р 1. "Общие сведения"'!I87="","",'Р 1. "Общие сведения"'!I87)</f>
        <v xml:space="preserve"> </v>
      </c>
      <c r="B87" s="44" t="str">
        <f>IF('Р 1. "Общие сведения"'!J87="","",'Р 1. "Общие сведения"'!J87)</f>
        <v/>
      </c>
      <c r="C87" s="44" t="str">
        <f>IF('Р 1. "Общие сведения"'!H87="","",'Р 1. "Общие сведения"'!H87)</f>
        <v/>
      </c>
      <c r="D87" s="44" t="str">
        <f>IF('Р 1. "Общие сведения"'!D87="","",'Р 1. "Общие сведения"'!D87)</f>
        <v/>
      </c>
      <c r="E87" s="44" t="str">
        <f>IF('Р 1. "Общие сведения"'!K87="","",'Р 1. "Общие сведения"'!K87)</f>
        <v/>
      </c>
      <c r="F87" s="45" t="str">
        <f>IF(OR(Таблица26[[#This Row],[Столбец1]]="",Таблица26[[#This Row],[Столбец5]]="",),"",VLOOKUP(A87,Таблица9[#All],2,FALSE))</f>
        <v/>
      </c>
      <c r="G87" s="47" t="str">
        <f>IF(OR(Таблица26[[#This Row],[Столбец1]]="",Таблица26[[#This Row],[Столбец5]]=""),"",VLOOKUP(A87,'Р 5. Финансирование'!$A$9:$D$100,3,FALSE))</f>
        <v/>
      </c>
      <c r="H87" s="47" t="str">
        <f>IF(OR(Таблица26[[#This Row],[Столбец1]]="",Таблица26[[#This Row],[Столбец5]]=""),"",VLOOKUP(A87,'Р 5. Финансирование'!$A$9:$D$100,4,FALSE))</f>
        <v/>
      </c>
      <c r="I87" s="6" t="str">
        <f>IF(OR(Таблица26[[#This Row],[Столбец5]]="отсутствует",Таблица26[[#This Row],[Столбец5]]=""),"",VLOOKUP(A87,'Р 4. Показатели_индикаторы'!$A$9:$J$103,3,FALSE))</f>
        <v/>
      </c>
      <c r="J87" s="6" t="str">
        <f>IF(OR(Таблица26[[#This Row],[Столбец5]]="отсутствует",Таблица26[[#This Row],[Столбец5]]=""),"",VLOOKUP(A87,'Р 4. Показатели_индикаторы'!$A$9:$J$103,4,FALSE))</f>
        <v/>
      </c>
      <c r="K87" s="6" t="str">
        <f>IF(OR(Таблица26[[#This Row],[Столбец1]]="",Таблица26[[#This Row],[Столбец5]]="",Таблица26[[#This Row],[Столбец5]]="отсутствует"),"",VLOOKUP(A87,'Р 4. Показатели_индикаторы'!$A$9:$J$103,5,FALSE))</f>
        <v/>
      </c>
      <c r="L87" s="6" t="str">
        <f>IF(OR(Таблица26[[#This Row],[Столбец1]]="",Таблица26[[#This Row],[Столбец5]]="",Таблица26[[#This Row],[Столбец5]]="отсутствует"),"",VLOOKUP(A87,'Р 4. Показатели_индикаторы'!$A$9:$J$103,6,FALSE))</f>
        <v/>
      </c>
      <c r="M87" s="6" t="str">
        <f>IF(OR(Таблица26[[#This Row],[Столбец1]]="",Таблица26[[#This Row],[Столбец5]]="",Таблица26[[#This Row],[Столбец5]]="отсутствует"),"",VLOOKUP(A87,'Р 4. Показатели_индикаторы'!$A$9:$J$103,7,FALSE))</f>
        <v/>
      </c>
      <c r="N87" s="6" t="str">
        <f>IF(OR(Таблица26[[#This Row],[Столбец1]]="",Таблица26[[#This Row],[Столбец5]]="",Таблица26[[#This Row],[Столбец5]]="отсутствует"),"",VLOOKUP(A87,'Р 4. Показатели_индикаторы'!$A$9:$J$103,8,FALSE))</f>
        <v/>
      </c>
      <c r="O87" s="10" t="str">
        <f>IF(VLOOKUP(A87,'Р 1. "Общие сведения"'!$I$8:$L$179,4,FALSE)="","",VLOOKUP(A87,'Р 1. "Общие сведения"'!$I$8:$L$179,4,FALSE))</f>
        <v/>
      </c>
    </row>
    <row r="88" spans="1:15" x14ac:dyDescent="0.25">
      <c r="A88" s="48" t="str">
        <f>IF('Р 1. "Общие сведения"'!I88="","",'Р 1. "Общие сведения"'!I88)</f>
        <v xml:space="preserve"> </v>
      </c>
      <c r="B88" s="44" t="str">
        <f>IF('Р 1. "Общие сведения"'!J88="","",'Р 1. "Общие сведения"'!J88)</f>
        <v/>
      </c>
      <c r="C88" s="44" t="str">
        <f>IF('Р 1. "Общие сведения"'!H88="","",'Р 1. "Общие сведения"'!H88)</f>
        <v/>
      </c>
      <c r="D88" s="44" t="str">
        <f>IF('Р 1. "Общие сведения"'!D88="","",'Р 1. "Общие сведения"'!D88)</f>
        <v/>
      </c>
      <c r="E88" s="44" t="str">
        <f>IF('Р 1. "Общие сведения"'!K88="","",'Р 1. "Общие сведения"'!K88)</f>
        <v/>
      </c>
      <c r="F88" s="45" t="str">
        <f>IF(OR(Таблица26[[#This Row],[Столбец1]]="",Таблица26[[#This Row],[Столбец5]]="",),"",VLOOKUP(A88,Таблица9[#All],2,FALSE))</f>
        <v/>
      </c>
      <c r="G88" s="47" t="str">
        <f>IF(OR(Таблица26[[#This Row],[Столбец1]]="",Таблица26[[#This Row],[Столбец5]]=""),"",VLOOKUP(A88,'Р 5. Финансирование'!$A$9:$D$100,3,FALSE))</f>
        <v/>
      </c>
      <c r="H88" s="47" t="str">
        <f>IF(OR(Таблица26[[#This Row],[Столбец1]]="",Таблица26[[#This Row],[Столбец5]]=""),"",VLOOKUP(A88,'Р 5. Финансирование'!$A$9:$D$100,4,FALSE))</f>
        <v/>
      </c>
      <c r="I88" s="6" t="str">
        <f>IF(OR(Таблица26[[#This Row],[Столбец5]]="отсутствует",Таблица26[[#This Row],[Столбец5]]=""),"",VLOOKUP(A88,'Р 4. Показатели_индикаторы'!$A$9:$J$103,3,FALSE))</f>
        <v/>
      </c>
      <c r="J88" s="6" t="str">
        <f>IF(OR(Таблица26[[#This Row],[Столбец5]]="отсутствует",Таблица26[[#This Row],[Столбец5]]=""),"",VLOOKUP(A88,'Р 4. Показатели_индикаторы'!$A$9:$J$103,4,FALSE))</f>
        <v/>
      </c>
      <c r="K88" s="6" t="str">
        <f>IF(OR(Таблица26[[#This Row],[Столбец1]]="",Таблица26[[#This Row],[Столбец5]]="",Таблица26[[#This Row],[Столбец5]]="отсутствует"),"",VLOOKUP(A88,'Р 4. Показатели_индикаторы'!$A$9:$J$103,5,FALSE))</f>
        <v/>
      </c>
      <c r="L88" s="6" t="str">
        <f>IF(OR(Таблица26[[#This Row],[Столбец1]]="",Таблица26[[#This Row],[Столбец5]]="",Таблица26[[#This Row],[Столбец5]]="отсутствует"),"",VLOOKUP(A88,'Р 4. Показатели_индикаторы'!$A$9:$J$103,6,FALSE))</f>
        <v/>
      </c>
      <c r="M88" s="6" t="str">
        <f>IF(OR(Таблица26[[#This Row],[Столбец1]]="",Таблица26[[#This Row],[Столбец5]]="",Таблица26[[#This Row],[Столбец5]]="отсутствует"),"",VLOOKUP(A88,'Р 4. Показатели_индикаторы'!$A$9:$J$103,7,FALSE))</f>
        <v/>
      </c>
      <c r="N88" s="6" t="str">
        <f>IF(OR(Таблица26[[#This Row],[Столбец1]]="",Таблица26[[#This Row],[Столбец5]]="",Таблица26[[#This Row],[Столбец5]]="отсутствует"),"",VLOOKUP(A88,'Р 4. Показатели_индикаторы'!$A$9:$J$103,8,FALSE))</f>
        <v/>
      </c>
      <c r="O88" s="10" t="str">
        <f>IF(VLOOKUP(A88,'Р 1. "Общие сведения"'!$I$8:$L$179,4,FALSE)="","",VLOOKUP(A88,'Р 1. "Общие сведения"'!$I$8:$L$179,4,FALSE))</f>
        <v/>
      </c>
    </row>
    <row r="89" spans="1:15" x14ac:dyDescent="0.25">
      <c r="A89" s="48" t="str">
        <f>IF('Р 1. "Общие сведения"'!I89="","",'Р 1. "Общие сведения"'!I89)</f>
        <v xml:space="preserve"> </v>
      </c>
      <c r="B89" s="44" t="str">
        <f>IF('Р 1. "Общие сведения"'!J89="","",'Р 1. "Общие сведения"'!J89)</f>
        <v/>
      </c>
      <c r="C89" s="44" t="str">
        <f>IF('Р 1. "Общие сведения"'!H89="","",'Р 1. "Общие сведения"'!H89)</f>
        <v/>
      </c>
      <c r="D89" s="44" t="str">
        <f>IF('Р 1. "Общие сведения"'!D89="","",'Р 1. "Общие сведения"'!D89)</f>
        <v/>
      </c>
      <c r="E89" s="44" t="str">
        <f>IF('Р 1. "Общие сведения"'!K89="","",'Р 1. "Общие сведения"'!K89)</f>
        <v/>
      </c>
      <c r="F89" s="45" t="str">
        <f>IF(OR(Таблица26[[#This Row],[Столбец1]]="",Таблица26[[#This Row],[Столбец5]]="",),"",VLOOKUP(A89,Таблица9[#All],2,FALSE))</f>
        <v/>
      </c>
      <c r="G89" s="47" t="str">
        <f>IF(OR(Таблица26[[#This Row],[Столбец1]]="",Таблица26[[#This Row],[Столбец5]]=""),"",VLOOKUP(A89,'Р 5. Финансирование'!$A$9:$D$100,3,FALSE))</f>
        <v/>
      </c>
      <c r="H89" s="47" t="str">
        <f>IF(OR(Таблица26[[#This Row],[Столбец1]]="",Таблица26[[#This Row],[Столбец5]]=""),"",VLOOKUP(A89,'Р 5. Финансирование'!$A$9:$D$100,4,FALSE))</f>
        <v/>
      </c>
      <c r="I89" s="6" t="str">
        <f>IF(OR(Таблица26[[#This Row],[Столбец5]]="отсутствует",Таблица26[[#This Row],[Столбец5]]=""),"",VLOOKUP(A89,'Р 4. Показатели_индикаторы'!$A$9:$J$103,3,FALSE))</f>
        <v/>
      </c>
      <c r="J89" s="6" t="str">
        <f>IF(OR(Таблица26[[#This Row],[Столбец5]]="отсутствует",Таблица26[[#This Row],[Столбец5]]=""),"",VLOOKUP(A89,'Р 4. Показатели_индикаторы'!$A$9:$J$103,4,FALSE))</f>
        <v/>
      </c>
      <c r="K89" s="6" t="str">
        <f>IF(OR(Таблица26[[#This Row],[Столбец1]]="",Таблица26[[#This Row],[Столбец5]]="",Таблица26[[#This Row],[Столбец5]]="отсутствует"),"",VLOOKUP(A89,'Р 4. Показатели_индикаторы'!$A$9:$J$103,5,FALSE))</f>
        <v/>
      </c>
      <c r="L89" s="6" t="str">
        <f>IF(OR(Таблица26[[#This Row],[Столбец1]]="",Таблица26[[#This Row],[Столбец5]]="",Таблица26[[#This Row],[Столбец5]]="отсутствует"),"",VLOOKUP(A89,'Р 4. Показатели_индикаторы'!$A$9:$J$103,6,FALSE))</f>
        <v/>
      </c>
      <c r="M89" s="6" t="str">
        <f>IF(OR(Таблица26[[#This Row],[Столбец1]]="",Таблица26[[#This Row],[Столбец5]]="",Таблица26[[#This Row],[Столбец5]]="отсутствует"),"",VLOOKUP(A89,'Р 4. Показатели_индикаторы'!$A$9:$J$103,7,FALSE))</f>
        <v/>
      </c>
      <c r="N89" s="6" t="str">
        <f>IF(OR(Таблица26[[#This Row],[Столбец1]]="",Таблица26[[#This Row],[Столбец5]]="",Таблица26[[#This Row],[Столбец5]]="отсутствует"),"",VLOOKUP(A89,'Р 4. Показатели_индикаторы'!$A$9:$J$103,8,FALSE))</f>
        <v/>
      </c>
      <c r="O89" s="10" t="str">
        <f>IF(VLOOKUP(A89,'Р 1. "Общие сведения"'!$I$8:$L$179,4,FALSE)="","",VLOOKUP(A89,'Р 1. "Общие сведения"'!$I$8:$L$179,4,FALSE))</f>
        <v/>
      </c>
    </row>
    <row r="90" spans="1:15" x14ac:dyDescent="0.25">
      <c r="A90" s="48" t="str">
        <f>IF('Р 1. "Общие сведения"'!I90="","",'Р 1. "Общие сведения"'!I90)</f>
        <v xml:space="preserve"> </v>
      </c>
      <c r="B90" s="44" t="str">
        <f>IF('Р 1. "Общие сведения"'!J90="","",'Р 1. "Общие сведения"'!J90)</f>
        <v/>
      </c>
      <c r="C90" s="44" t="str">
        <f>IF('Р 1. "Общие сведения"'!H90="","",'Р 1. "Общие сведения"'!H90)</f>
        <v/>
      </c>
      <c r="D90" s="44" t="str">
        <f>IF('Р 1. "Общие сведения"'!D90="","",'Р 1. "Общие сведения"'!D90)</f>
        <v/>
      </c>
      <c r="E90" s="44" t="str">
        <f>IF('Р 1. "Общие сведения"'!K90="","",'Р 1. "Общие сведения"'!K90)</f>
        <v/>
      </c>
      <c r="F90" s="45" t="str">
        <f>IF(OR(Таблица26[[#This Row],[Столбец1]]="",Таблица26[[#This Row],[Столбец5]]="",),"",VLOOKUP(A90,Таблица9[#All],2,FALSE))</f>
        <v/>
      </c>
      <c r="G90" s="47" t="str">
        <f>IF(OR(Таблица26[[#This Row],[Столбец1]]="",Таблица26[[#This Row],[Столбец5]]=""),"",VLOOKUP(A90,'Р 5. Финансирование'!$A$9:$D$100,3,FALSE))</f>
        <v/>
      </c>
      <c r="H90" s="47" t="str">
        <f>IF(OR(Таблица26[[#This Row],[Столбец1]]="",Таблица26[[#This Row],[Столбец5]]=""),"",VLOOKUP(A90,'Р 5. Финансирование'!$A$9:$D$100,4,FALSE))</f>
        <v/>
      </c>
      <c r="I90" s="6" t="str">
        <f>IF(OR(Таблица26[[#This Row],[Столбец5]]="отсутствует",Таблица26[[#This Row],[Столбец5]]=""),"",VLOOKUP(A90,'Р 4. Показатели_индикаторы'!$A$9:$J$103,3,FALSE))</f>
        <v/>
      </c>
      <c r="J90" s="6" t="str">
        <f>IF(OR(Таблица26[[#This Row],[Столбец5]]="отсутствует",Таблица26[[#This Row],[Столбец5]]=""),"",VLOOKUP(A90,'Р 4. Показатели_индикаторы'!$A$9:$J$103,4,FALSE))</f>
        <v/>
      </c>
      <c r="K90" s="6" t="str">
        <f>IF(OR(Таблица26[[#This Row],[Столбец1]]="",Таблица26[[#This Row],[Столбец5]]="",Таблица26[[#This Row],[Столбец5]]="отсутствует"),"",VLOOKUP(A90,'Р 4. Показатели_индикаторы'!$A$9:$J$103,5,FALSE))</f>
        <v/>
      </c>
      <c r="L90" s="6" t="str">
        <f>IF(OR(Таблица26[[#This Row],[Столбец1]]="",Таблица26[[#This Row],[Столбец5]]="",Таблица26[[#This Row],[Столбец5]]="отсутствует"),"",VLOOKUP(A90,'Р 4. Показатели_индикаторы'!$A$9:$J$103,6,FALSE))</f>
        <v/>
      </c>
      <c r="M90" s="6" t="str">
        <f>IF(OR(Таблица26[[#This Row],[Столбец1]]="",Таблица26[[#This Row],[Столбец5]]="",Таблица26[[#This Row],[Столбец5]]="отсутствует"),"",VLOOKUP(A90,'Р 4. Показатели_индикаторы'!$A$9:$J$103,7,FALSE))</f>
        <v/>
      </c>
      <c r="N90" s="6" t="str">
        <f>IF(OR(Таблица26[[#This Row],[Столбец1]]="",Таблица26[[#This Row],[Столбец5]]="",Таблица26[[#This Row],[Столбец5]]="отсутствует"),"",VLOOKUP(A90,'Р 4. Показатели_индикаторы'!$A$9:$J$103,8,FALSE))</f>
        <v/>
      </c>
      <c r="O90" s="10" t="str">
        <f>IF(VLOOKUP(A90,'Р 1. "Общие сведения"'!$I$8:$L$179,4,FALSE)="","",VLOOKUP(A90,'Р 1. "Общие сведения"'!$I$8:$L$179,4,FALSE))</f>
        <v/>
      </c>
    </row>
    <row r="91" spans="1:15" x14ac:dyDescent="0.25">
      <c r="A91" s="48" t="str">
        <f>IF('Р 1. "Общие сведения"'!I91="","",'Р 1. "Общие сведения"'!I91)</f>
        <v xml:space="preserve"> </v>
      </c>
      <c r="B91" s="44" t="str">
        <f>IF('Р 1. "Общие сведения"'!J91="","",'Р 1. "Общие сведения"'!J91)</f>
        <v/>
      </c>
      <c r="C91" s="44" t="str">
        <f>IF('Р 1. "Общие сведения"'!H91="","",'Р 1. "Общие сведения"'!H91)</f>
        <v/>
      </c>
      <c r="D91" s="44" t="str">
        <f>IF('Р 1. "Общие сведения"'!D91="","",'Р 1. "Общие сведения"'!D91)</f>
        <v/>
      </c>
      <c r="E91" s="44" t="str">
        <f>IF('Р 1. "Общие сведения"'!K91="","",'Р 1. "Общие сведения"'!K91)</f>
        <v/>
      </c>
      <c r="F91" s="45" t="str">
        <f>IF(OR(Таблица26[[#This Row],[Столбец1]]="",Таблица26[[#This Row],[Столбец5]]="",),"",VLOOKUP(A91,Таблица9[#All],2,FALSE))</f>
        <v/>
      </c>
      <c r="G91" s="47" t="str">
        <f>IF(OR(Таблица26[[#This Row],[Столбец1]]="",Таблица26[[#This Row],[Столбец5]]=""),"",VLOOKUP(A91,'Р 5. Финансирование'!$A$9:$D$100,3,FALSE))</f>
        <v/>
      </c>
      <c r="H91" s="47" t="str">
        <f>IF(OR(Таблица26[[#This Row],[Столбец1]]="",Таблица26[[#This Row],[Столбец5]]=""),"",VLOOKUP(A91,'Р 5. Финансирование'!$A$9:$D$100,4,FALSE))</f>
        <v/>
      </c>
      <c r="I91" s="6" t="str">
        <f>IF(OR(Таблица26[[#This Row],[Столбец5]]="отсутствует",Таблица26[[#This Row],[Столбец5]]=""),"",VLOOKUP(A91,'Р 4. Показатели_индикаторы'!$A$9:$J$103,3,FALSE))</f>
        <v/>
      </c>
      <c r="J91" s="6" t="str">
        <f>IF(OR(Таблица26[[#This Row],[Столбец5]]="отсутствует",Таблица26[[#This Row],[Столбец5]]=""),"",VLOOKUP(A91,'Р 4. Показатели_индикаторы'!$A$9:$J$103,4,FALSE))</f>
        <v/>
      </c>
      <c r="K91" s="6" t="str">
        <f>IF(OR(Таблица26[[#This Row],[Столбец1]]="",Таблица26[[#This Row],[Столбец5]]="",Таблица26[[#This Row],[Столбец5]]="отсутствует"),"",VLOOKUP(A91,'Р 4. Показатели_индикаторы'!$A$9:$J$103,5,FALSE))</f>
        <v/>
      </c>
      <c r="L91" s="6" t="str">
        <f>IF(OR(Таблица26[[#This Row],[Столбец1]]="",Таблица26[[#This Row],[Столбец5]]="",Таблица26[[#This Row],[Столбец5]]="отсутствует"),"",VLOOKUP(A91,'Р 4. Показатели_индикаторы'!$A$9:$J$103,6,FALSE))</f>
        <v/>
      </c>
      <c r="M91" s="6" t="str">
        <f>IF(OR(Таблица26[[#This Row],[Столбец1]]="",Таблица26[[#This Row],[Столбец5]]="",Таблица26[[#This Row],[Столбец5]]="отсутствует"),"",VLOOKUP(A91,'Р 4. Показатели_индикаторы'!$A$9:$J$103,7,FALSE))</f>
        <v/>
      </c>
      <c r="N91" s="6" t="str">
        <f>IF(OR(Таблица26[[#This Row],[Столбец1]]="",Таблица26[[#This Row],[Столбец5]]="",Таблица26[[#This Row],[Столбец5]]="отсутствует"),"",VLOOKUP(A91,'Р 4. Показатели_индикаторы'!$A$9:$J$103,8,FALSE))</f>
        <v/>
      </c>
      <c r="O91" s="10" t="str">
        <f>IF(VLOOKUP(A91,'Р 1. "Общие сведения"'!$I$8:$L$179,4,FALSE)="","",VLOOKUP(A91,'Р 1. "Общие сведения"'!$I$8:$L$179,4,FALSE))</f>
        <v/>
      </c>
    </row>
    <row r="92" spans="1:15" x14ac:dyDescent="0.25">
      <c r="A92" s="48" t="str">
        <f>IF('Р 1. "Общие сведения"'!I92="","",'Р 1. "Общие сведения"'!I92)</f>
        <v xml:space="preserve"> </v>
      </c>
      <c r="B92" s="44" t="str">
        <f>IF('Р 1. "Общие сведения"'!J92="","",'Р 1. "Общие сведения"'!J92)</f>
        <v/>
      </c>
      <c r="C92" s="44" t="str">
        <f>IF('Р 1. "Общие сведения"'!H92="","",'Р 1. "Общие сведения"'!H92)</f>
        <v/>
      </c>
      <c r="D92" s="44" t="str">
        <f>IF('Р 1. "Общие сведения"'!D92="","",'Р 1. "Общие сведения"'!D92)</f>
        <v/>
      </c>
      <c r="E92" s="44" t="str">
        <f>IF('Р 1. "Общие сведения"'!K92="","",'Р 1. "Общие сведения"'!K92)</f>
        <v/>
      </c>
      <c r="F92" s="45" t="str">
        <f>IF(OR(Таблица26[[#This Row],[Столбец1]]="",Таблица26[[#This Row],[Столбец5]]="",),"",VLOOKUP(A92,Таблица9[#All],2,FALSE))</f>
        <v/>
      </c>
      <c r="G92" s="47" t="str">
        <f>IF(OR(Таблица26[[#This Row],[Столбец1]]="",Таблица26[[#This Row],[Столбец5]]=""),"",VLOOKUP(A92,'Р 5. Финансирование'!$A$9:$D$100,3,FALSE))</f>
        <v/>
      </c>
      <c r="H92" s="47" t="str">
        <f>IF(OR(Таблица26[[#This Row],[Столбец1]]="",Таблица26[[#This Row],[Столбец5]]=""),"",VLOOKUP(A92,'Р 5. Финансирование'!$A$9:$D$100,4,FALSE))</f>
        <v/>
      </c>
      <c r="I92" s="6" t="str">
        <f>IF(OR(Таблица26[[#This Row],[Столбец5]]="отсутствует",Таблица26[[#This Row],[Столбец5]]=""),"",VLOOKUP(A92,'Р 4. Показатели_индикаторы'!$A$9:$J$103,3,FALSE))</f>
        <v/>
      </c>
      <c r="J92" s="6" t="str">
        <f>IF(OR(Таблица26[[#This Row],[Столбец5]]="отсутствует",Таблица26[[#This Row],[Столбец5]]=""),"",VLOOKUP(A92,'Р 4. Показатели_индикаторы'!$A$9:$J$103,4,FALSE))</f>
        <v/>
      </c>
      <c r="K92" s="6" t="str">
        <f>IF(OR(Таблица26[[#This Row],[Столбец1]]="",Таблица26[[#This Row],[Столбец5]]="",Таблица26[[#This Row],[Столбец5]]="отсутствует"),"",VLOOKUP(A92,'Р 4. Показатели_индикаторы'!$A$9:$J$103,5,FALSE))</f>
        <v/>
      </c>
      <c r="L92" s="6" t="str">
        <f>IF(OR(Таблица26[[#This Row],[Столбец1]]="",Таблица26[[#This Row],[Столбец5]]="",Таблица26[[#This Row],[Столбец5]]="отсутствует"),"",VLOOKUP(A92,'Р 4. Показатели_индикаторы'!$A$9:$J$103,6,FALSE))</f>
        <v/>
      </c>
      <c r="M92" s="6" t="str">
        <f>IF(OR(Таблица26[[#This Row],[Столбец1]]="",Таблица26[[#This Row],[Столбец5]]="",Таблица26[[#This Row],[Столбец5]]="отсутствует"),"",VLOOKUP(A92,'Р 4. Показатели_индикаторы'!$A$9:$J$103,7,FALSE))</f>
        <v/>
      </c>
      <c r="N92" s="6" t="str">
        <f>IF(OR(Таблица26[[#This Row],[Столбец1]]="",Таблица26[[#This Row],[Столбец5]]="",Таблица26[[#This Row],[Столбец5]]="отсутствует"),"",VLOOKUP(A92,'Р 4. Показатели_индикаторы'!$A$9:$J$103,8,FALSE))</f>
        <v/>
      </c>
      <c r="O92" s="10" t="str">
        <f>IF(VLOOKUP(A92,'Р 1. "Общие сведения"'!$I$8:$L$179,4,FALSE)="","",VLOOKUP(A92,'Р 1. "Общие сведения"'!$I$8:$L$179,4,FALSE))</f>
        <v/>
      </c>
    </row>
    <row r="93" spans="1:15" x14ac:dyDescent="0.25">
      <c r="A93" s="48" t="str">
        <f>IF('Р 1. "Общие сведения"'!I93="","",'Р 1. "Общие сведения"'!I93)</f>
        <v xml:space="preserve"> </v>
      </c>
      <c r="B93" s="44" t="str">
        <f>IF('Р 1. "Общие сведения"'!J93="","",'Р 1. "Общие сведения"'!J93)</f>
        <v/>
      </c>
      <c r="C93" s="44" t="str">
        <f>IF('Р 1. "Общие сведения"'!H93="","",'Р 1. "Общие сведения"'!H93)</f>
        <v/>
      </c>
      <c r="D93" s="44" t="str">
        <f>IF('Р 1. "Общие сведения"'!D93="","",'Р 1. "Общие сведения"'!D93)</f>
        <v/>
      </c>
      <c r="E93" s="44" t="str">
        <f>IF('Р 1. "Общие сведения"'!K93="","",'Р 1. "Общие сведения"'!K93)</f>
        <v/>
      </c>
      <c r="F93" s="45" t="str">
        <f>IF(OR(Таблица26[[#This Row],[Столбец1]]="",Таблица26[[#This Row],[Столбец5]]="",),"",VLOOKUP(A93,Таблица9[#All],2,FALSE))</f>
        <v/>
      </c>
      <c r="G93" s="47" t="str">
        <f>IF(OR(Таблица26[[#This Row],[Столбец1]]="",Таблица26[[#This Row],[Столбец5]]=""),"",VLOOKUP(A93,'Р 5. Финансирование'!$A$9:$D$100,3,FALSE))</f>
        <v/>
      </c>
      <c r="H93" s="47" t="str">
        <f>IF(OR(Таблица26[[#This Row],[Столбец1]]="",Таблица26[[#This Row],[Столбец5]]=""),"",VLOOKUP(A93,'Р 5. Финансирование'!$A$9:$D$100,4,FALSE))</f>
        <v/>
      </c>
      <c r="I93" s="6" t="str">
        <f>IF(OR(Таблица26[[#This Row],[Столбец5]]="отсутствует",Таблица26[[#This Row],[Столбец5]]=""),"",VLOOKUP(A93,'Р 4. Показатели_индикаторы'!$A$9:$J$103,3,FALSE))</f>
        <v/>
      </c>
      <c r="J93" s="6" t="str">
        <f>IF(OR(Таблица26[[#This Row],[Столбец5]]="отсутствует",Таблица26[[#This Row],[Столбец5]]=""),"",VLOOKUP(A93,'Р 4. Показатели_индикаторы'!$A$9:$J$103,4,FALSE))</f>
        <v/>
      </c>
      <c r="K93" s="6" t="str">
        <f>IF(OR(Таблица26[[#This Row],[Столбец1]]="",Таблица26[[#This Row],[Столбец5]]="",Таблица26[[#This Row],[Столбец5]]="отсутствует"),"",VLOOKUP(A93,'Р 4. Показатели_индикаторы'!$A$9:$J$103,5,FALSE))</f>
        <v/>
      </c>
      <c r="L93" s="6" t="str">
        <f>IF(OR(Таблица26[[#This Row],[Столбец1]]="",Таблица26[[#This Row],[Столбец5]]="",Таблица26[[#This Row],[Столбец5]]="отсутствует"),"",VLOOKUP(A93,'Р 4. Показатели_индикаторы'!$A$9:$J$103,6,FALSE))</f>
        <v/>
      </c>
      <c r="M93" s="6" t="str">
        <f>IF(OR(Таблица26[[#This Row],[Столбец1]]="",Таблица26[[#This Row],[Столбец5]]="",Таблица26[[#This Row],[Столбец5]]="отсутствует"),"",VLOOKUP(A93,'Р 4. Показатели_индикаторы'!$A$9:$J$103,7,FALSE))</f>
        <v/>
      </c>
      <c r="N93" s="6" t="str">
        <f>IF(OR(Таблица26[[#This Row],[Столбец1]]="",Таблица26[[#This Row],[Столбец5]]="",Таблица26[[#This Row],[Столбец5]]="отсутствует"),"",VLOOKUP(A93,'Р 4. Показатели_индикаторы'!$A$9:$J$103,8,FALSE))</f>
        <v/>
      </c>
      <c r="O93" s="10" t="str">
        <f>IF(VLOOKUP(A93,'Р 1. "Общие сведения"'!$I$8:$L$179,4,FALSE)="","",VLOOKUP(A93,'Р 1. "Общие сведения"'!$I$8:$L$179,4,FALSE))</f>
        <v/>
      </c>
    </row>
    <row r="94" spans="1:15" x14ac:dyDescent="0.25">
      <c r="A94" s="48" t="str">
        <f>IF('Р 1. "Общие сведения"'!I94="","",'Р 1. "Общие сведения"'!I94)</f>
        <v xml:space="preserve"> </v>
      </c>
      <c r="B94" s="44" t="str">
        <f>IF('Р 1. "Общие сведения"'!J94="","",'Р 1. "Общие сведения"'!J94)</f>
        <v/>
      </c>
      <c r="C94" s="44" t="str">
        <f>IF('Р 1. "Общие сведения"'!H94="","",'Р 1. "Общие сведения"'!H94)</f>
        <v/>
      </c>
      <c r="D94" s="44" t="str">
        <f>IF('Р 1. "Общие сведения"'!D94="","",'Р 1. "Общие сведения"'!D94)</f>
        <v/>
      </c>
      <c r="E94" s="44" t="str">
        <f>IF('Р 1. "Общие сведения"'!K94="","",'Р 1. "Общие сведения"'!K94)</f>
        <v/>
      </c>
      <c r="F94" s="45" t="str">
        <f>IF(OR(Таблица26[[#This Row],[Столбец1]]="",Таблица26[[#This Row],[Столбец5]]="",),"",VLOOKUP(A94,Таблица9[#All],2,FALSE))</f>
        <v/>
      </c>
      <c r="G94" s="47" t="str">
        <f>IF(OR(Таблица26[[#This Row],[Столбец1]]="",Таблица26[[#This Row],[Столбец5]]=""),"",VLOOKUP(A94,'Р 5. Финансирование'!$A$9:$D$100,3,FALSE))</f>
        <v/>
      </c>
      <c r="H94" s="47" t="str">
        <f>IF(OR(Таблица26[[#This Row],[Столбец1]]="",Таблица26[[#This Row],[Столбец5]]=""),"",VLOOKUP(A94,'Р 5. Финансирование'!$A$9:$D$100,4,FALSE))</f>
        <v/>
      </c>
      <c r="I94" s="6" t="str">
        <f>IF(OR(Таблица26[[#This Row],[Столбец5]]="отсутствует",Таблица26[[#This Row],[Столбец5]]=""),"",VLOOKUP(A94,'Р 4. Показатели_индикаторы'!$A$9:$J$103,3,FALSE))</f>
        <v/>
      </c>
      <c r="J94" s="6" t="str">
        <f>IF(OR(Таблица26[[#This Row],[Столбец5]]="отсутствует",Таблица26[[#This Row],[Столбец5]]=""),"",VLOOKUP(A94,'Р 4. Показатели_индикаторы'!$A$9:$J$103,4,FALSE))</f>
        <v/>
      </c>
      <c r="K94" s="6" t="str">
        <f>IF(OR(Таблица26[[#This Row],[Столбец1]]="",Таблица26[[#This Row],[Столбец5]]="",Таблица26[[#This Row],[Столбец5]]="отсутствует"),"",VLOOKUP(A94,'Р 4. Показатели_индикаторы'!$A$9:$J$103,5,FALSE))</f>
        <v/>
      </c>
      <c r="L94" s="6" t="str">
        <f>IF(OR(Таблица26[[#This Row],[Столбец1]]="",Таблица26[[#This Row],[Столбец5]]="",Таблица26[[#This Row],[Столбец5]]="отсутствует"),"",VLOOKUP(A94,'Р 4. Показатели_индикаторы'!$A$9:$J$103,6,FALSE))</f>
        <v/>
      </c>
      <c r="M94" s="6" t="str">
        <f>IF(OR(Таблица26[[#This Row],[Столбец1]]="",Таблица26[[#This Row],[Столбец5]]="",Таблица26[[#This Row],[Столбец5]]="отсутствует"),"",VLOOKUP(A94,'Р 4. Показатели_индикаторы'!$A$9:$J$103,7,FALSE))</f>
        <v/>
      </c>
      <c r="N94" s="6" t="str">
        <f>IF(OR(Таблица26[[#This Row],[Столбец1]]="",Таблица26[[#This Row],[Столбец5]]="",Таблица26[[#This Row],[Столбец5]]="отсутствует"),"",VLOOKUP(A94,'Р 4. Показатели_индикаторы'!$A$9:$J$103,8,FALSE))</f>
        <v/>
      </c>
      <c r="O94" s="10" t="str">
        <f>IF(VLOOKUP(A94,'Р 1. "Общие сведения"'!$I$8:$L$179,4,FALSE)="","",VLOOKUP(A94,'Р 1. "Общие сведения"'!$I$8:$L$179,4,FALSE))</f>
        <v/>
      </c>
    </row>
    <row r="95" spans="1:15" x14ac:dyDescent="0.25">
      <c r="A95" s="48" t="str">
        <f>IF('Р 1. "Общие сведения"'!I95="","",'Р 1. "Общие сведения"'!I95)</f>
        <v xml:space="preserve"> </v>
      </c>
      <c r="B95" s="44" t="str">
        <f>IF('Р 1. "Общие сведения"'!J95="","",'Р 1. "Общие сведения"'!J95)</f>
        <v/>
      </c>
      <c r="C95" s="44" t="str">
        <f>IF('Р 1. "Общие сведения"'!H95="","",'Р 1. "Общие сведения"'!H95)</f>
        <v/>
      </c>
      <c r="D95" s="44" t="str">
        <f>IF('Р 1. "Общие сведения"'!D95="","",'Р 1. "Общие сведения"'!D95)</f>
        <v/>
      </c>
      <c r="E95" s="44" t="str">
        <f>IF('Р 1. "Общие сведения"'!K95="","",'Р 1. "Общие сведения"'!K95)</f>
        <v/>
      </c>
      <c r="F95" s="45" t="str">
        <f>IF(OR(Таблица26[[#This Row],[Столбец1]]="",Таблица26[[#This Row],[Столбец5]]="",),"",VLOOKUP(A95,Таблица9[#All],2,FALSE))</f>
        <v/>
      </c>
      <c r="G95" s="47" t="str">
        <f>IF(OR(Таблица26[[#This Row],[Столбец1]]="",Таблица26[[#This Row],[Столбец5]]=""),"",VLOOKUP(A95,'Р 5. Финансирование'!$A$9:$D$100,3,FALSE))</f>
        <v/>
      </c>
      <c r="H95" s="47" t="str">
        <f>IF(OR(Таблица26[[#This Row],[Столбец1]]="",Таблица26[[#This Row],[Столбец5]]=""),"",VLOOKUP(A95,'Р 5. Финансирование'!$A$9:$D$100,4,FALSE))</f>
        <v/>
      </c>
      <c r="I95" s="6" t="str">
        <f>IF(OR(Таблица26[[#This Row],[Столбец5]]="отсутствует",Таблица26[[#This Row],[Столбец5]]=""),"",VLOOKUP(A95,'Р 4. Показатели_индикаторы'!$A$9:$J$103,3,FALSE))</f>
        <v/>
      </c>
      <c r="J95" s="6" t="str">
        <f>IF(OR(Таблица26[[#This Row],[Столбец5]]="отсутствует",Таблица26[[#This Row],[Столбец5]]=""),"",VLOOKUP(A95,'Р 4. Показатели_индикаторы'!$A$9:$J$103,4,FALSE))</f>
        <v/>
      </c>
      <c r="K95" s="6" t="str">
        <f>IF(OR(Таблица26[[#This Row],[Столбец1]]="",Таблица26[[#This Row],[Столбец5]]="",Таблица26[[#This Row],[Столбец5]]="отсутствует"),"",VLOOKUP(A95,'Р 4. Показатели_индикаторы'!$A$9:$J$103,5,FALSE))</f>
        <v/>
      </c>
      <c r="L95" s="6" t="str">
        <f>IF(OR(Таблица26[[#This Row],[Столбец1]]="",Таблица26[[#This Row],[Столбец5]]="",Таблица26[[#This Row],[Столбец5]]="отсутствует"),"",VLOOKUP(A95,'Р 4. Показатели_индикаторы'!$A$9:$J$103,6,FALSE))</f>
        <v/>
      </c>
      <c r="M95" s="6" t="str">
        <f>IF(OR(Таблица26[[#This Row],[Столбец1]]="",Таблица26[[#This Row],[Столбец5]]="",Таблица26[[#This Row],[Столбец5]]="отсутствует"),"",VLOOKUP(A95,'Р 4. Показатели_индикаторы'!$A$9:$J$103,7,FALSE))</f>
        <v/>
      </c>
      <c r="N95" s="6" t="str">
        <f>IF(OR(Таблица26[[#This Row],[Столбец1]]="",Таблица26[[#This Row],[Столбец5]]="",Таблица26[[#This Row],[Столбец5]]="отсутствует"),"",VLOOKUP(A95,'Р 4. Показатели_индикаторы'!$A$9:$J$103,8,FALSE))</f>
        <v/>
      </c>
      <c r="O95" s="10" t="str">
        <f>IF(VLOOKUP(A95,'Р 1. "Общие сведения"'!$I$8:$L$179,4,FALSE)="","",VLOOKUP(A95,'Р 1. "Общие сведения"'!$I$8:$L$179,4,FALSE))</f>
        <v/>
      </c>
    </row>
    <row r="96" spans="1:15" x14ac:dyDescent="0.25">
      <c r="A96" s="48" t="str">
        <f>IF('Р 1. "Общие сведения"'!I96="","",'Р 1. "Общие сведения"'!I96)</f>
        <v xml:space="preserve"> </v>
      </c>
      <c r="B96" s="44" t="str">
        <f>IF('Р 1. "Общие сведения"'!J96="","",'Р 1. "Общие сведения"'!J96)</f>
        <v/>
      </c>
      <c r="C96" s="44" t="str">
        <f>IF('Р 1. "Общие сведения"'!H96="","",'Р 1. "Общие сведения"'!H96)</f>
        <v/>
      </c>
      <c r="D96" s="44" t="str">
        <f>IF('Р 1. "Общие сведения"'!D96="","",'Р 1. "Общие сведения"'!D96)</f>
        <v/>
      </c>
      <c r="E96" s="44" t="str">
        <f>IF('Р 1. "Общие сведения"'!K96="","",'Р 1. "Общие сведения"'!K96)</f>
        <v/>
      </c>
      <c r="F96" s="45" t="str">
        <f>IF(OR(Таблица26[[#This Row],[Столбец1]]="",Таблица26[[#This Row],[Столбец5]]="",),"",VLOOKUP(A96,Таблица9[#All],2,FALSE))</f>
        <v/>
      </c>
      <c r="G96" s="47" t="str">
        <f>IF(OR(Таблица26[[#This Row],[Столбец1]]="",Таблица26[[#This Row],[Столбец5]]=""),"",VLOOKUP(A96,'Р 5. Финансирование'!$A$9:$D$100,3,FALSE))</f>
        <v/>
      </c>
      <c r="H96" s="47" t="str">
        <f>IF(OR(Таблица26[[#This Row],[Столбец1]]="",Таблица26[[#This Row],[Столбец5]]=""),"",VLOOKUP(A96,'Р 5. Финансирование'!$A$9:$D$100,4,FALSE))</f>
        <v/>
      </c>
      <c r="I96" s="6" t="str">
        <f>IF(OR(Таблица26[[#This Row],[Столбец5]]="отсутствует",Таблица26[[#This Row],[Столбец5]]=""),"",VLOOKUP(A96,'Р 4. Показатели_индикаторы'!$A$9:$J$103,3,FALSE))</f>
        <v/>
      </c>
      <c r="J96" s="6" t="str">
        <f>IF(OR(Таблица26[[#This Row],[Столбец5]]="отсутствует",Таблица26[[#This Row],[Столбец5]]=""),"",VLOOKUP(A96,'Р 4. Показатели_индикаторы'!$A$9:$J$103,4,FALSE))</f>
        <v/>
      </c>
      <c r="K96" s="6" t="str">
        <f>IF(OR(Таблица26[[#This Row],[Столбец1]]="",Таблица26[[#This Row],[Столбец5]]="",Таблица26[[#This Row],[Столбец5]]="отсутствует"),"",VLOOKUP(A96,'Р 4. Показатели_индикаторы'!$A$9:$J$103,5,FALSE))</f>
        <v/>
      </c>
      <c r="L96" s="6" t="str">
        <f>IF(OR(Таблица26[[#This Row],[Столбец1]]="",Таблица26[[#This Row],[Столбец5]]="",Таблица26[[#This Row],[Столбец5]]="отсутствует"),"",VLOOKUP(A96,'Р 4. Показатели_индикаторы'!$A$9:$J$103,6,FALSE))</f>
        <v/>
      </c>
      <c r="M96" s="6" t="str">
        <f>IF(OR(Таблица26[[#This Row],[Столбец1]]="",Таблица26[[#This Row],[Столбец5]]="",Таблица26[[#This Row],[Столбец5]]="отсутствует"),"",VLOOKUP(A96,'Р 4. Показатели_индикаторы'!$A$9:$J$103,7,FALSE))</f>
        <v/>
      </c>
      <c r="N96" s="6" t="str">
        <f>IF(OR(Таблица26[[#This Row],[Столбец1]]="",Таблица26[[#This Row],[Столбец5]]="",Таблица26[[#This Row],[Столбец5]]="отсутствует"),"",VLOOKUP(A96,'Р 4. Показатели_индикаторы'!$A$9:$J$103,8,FALSE))</f>
        <v/>
      </c>
      <c r="O96" s="10" t="str">
        <f>IF(VLOOKUP(A96,'Р 1. "Общие сведения"'!$I$8:$L$179,4,FALSE)="","",VLOOKUP(A96,'Р 1. "Общие сведения"'!$I$8:$L$179,4,FALSE))</f>
        <v/>
      </c>
    </row>
    <row r="97" spans="1:15" x14ac:dyDescent="0.25">
      <c r="A97" s="48" t="str">
        <f>IF('Р 1. "Общие сведения"'!I97="","",'Р 1. "Общие сведения"'!I97)</f>
        <v xml:space="preserve"> </v>
      </c>
      <c r="B97" s="44" t="str">
        <f>IF('Р 1. "Общие сведения"'!J97="","",'Р 1. "Общие сведения"'!J97)</f>
        <v/>
      </c>
      <c r="C97" s="44" t="str">
        <f>IF('Р 1. "Общие сведения"'!H97="","",'Р 1. "Общие сведения"'!H97)</f>
        <v/>
      </c>
      <c r="D97" s="44" t="str">
        <f>IF('Р 1. "Общие сведения"'!D97="","",'Р 1. "Общие сведения"'!D97)</f>
        <v/>
      </c>
      <c r="E97" s="44" t="str">
        <f>IF('Р 1. "Общие сведения"'!K97="","",'Р 1. "Общие сведения"'!K97)</f>
        <v/>
      </c>
      <c r="F97" s="45" t="str">
        <f>IF(OR(Таблица26[[#This Row],[Столбец1]]="",Таблица26[[#This Row],[Столбец5]]="",),"",VLOOKUP(A97,Таблица9[#All],2,FALSE))</f>
        <v/>
      </c>
      <c r="G97" s="47" t="str">
        <f>IF(OR(Таблица26[[#This Row],[Столбец1]]="",Таблица26[[#This Row],[Столбец5]]=""),"",VLOOKUP(A97,'Р 5. Финансирование'!$A$9:$D$100,3,FALSE))</f>
        <v/>
      </c>
      <c r="H97" s="47" t="str">
        <f>IF(OR(Таблица26[[#This Row],[Столбец1]]="",Таблица26[[#This Row],[Столбец5]]=""),"",VLOOKUP(A97,'Р 5. Финансирование'!$A$9:$D$100,4,FALSE))</f>
        <v/>
      </c>
      <c r="I97" s="6" t="str">
        <f>IF(OR(Таблица26[[#This Row],[Столбец5]]="отсутствует",Таблица26[[#This Row],[Столбец5]]=""),"",VLOOKUP(A97,'Р 4. Показатели_индикаторы'!$A$9:$J$103,3,FALSE))</f>
        <v/>
      </c>
      <c r="J97" s="6" t="str">
        <f>IF(OR(Таблица26[[#This Row],[Столбец5]]="отсутствует",Таблица26[[#This Row],[Столбец5]]=""),"",VLOOKUP(A97,'Р 4. Показатели_индикаторы'!$A$9:$J$103,4,FALSE))</f>
        <v/>
      </c>
      <c r="K97" s="6" t="str">
        <f>IF(OR(Таблица26[[#This Row],[Столбец1]]="",Таблица26[[#This Row],[Столбец5]]="",Таблица26[[#This Row],[Столбец5]]="отсутствует"),"",VLOOKUP(A97,'Р 4. Показатели_индикаторы'!$A$9:$J$103,5,FALSE))</f>
        <v/>
      </c>
      <c r="L97" s="6" t="str">
        <f>IF(OR(Таблица26[[#This Row],[Столбец1]]="",Таблица26[[#This Row],[Столбец5]]="",Таблица26[[#This Row],[Столбец5]]="отсутствует"),"",VLOOKUP(A97,'Р 4. Показатели_индикаторы'!$A$9:$J$103,6,FALSE))</f>
        <v/>
      </c>
      <c r="M97" s="6" t="str">
        <f>IF(OR(Таблица26[[#This Row],[Столбец1]]="",Таблица26[[#This Row],[Столбец5]]="",Таблица26[[#This Row],[Столбец5]]="отсутствует"),"",VLOOKUP(A97,'Р 4. Показатели_индикаторы'!$A$9:$J$103,7,FALSE))</f>
        <v/>
      </c>
      <c r="N97" s="6" t="str">
        <f>IF(OR(Таблица26[[#This Row],[Столбец1]]="",Таблица26[[#This Row],[Столбец5]]="",Таблица26[[#This Row],[Столбец5]]="отсутствует"),"",VLOOKUP(A97,'Р 4. Показатели_индикаторы'!$A$9:$J$103,8,FALSE))</f>
        <v/>
      </c>
      <c r="O97" s="10" t="str">
        <f>IF(VLOOKUP(A97,'Р 1. "Общие сведения"'!$I$8:$L$179,4,FALSE)="","",VLOOKUP(A97,'Р 1. "Общие сведения"'!$I$8:$L$179,4,FALSE))</f>
        <v/>
      </c>
    </row>
    <row r="98" spans="1:15" x14ac:dyDescent="0.25">
      <c r="A98" s="48" t="str">
        <f>IF('Р 1. "Общие сведения"'!I98="","",'Р 1. "Общие сведения"'!I98)</f>
        <v xml:space="preserve"> </v>
      </c>
      <c r="B98" s="44" t="str">
        <f>IF('Р 1. "Общие сведения"'!J98="","",'Р 1. "Общие сведения"'!J98)</f>
        <v/>
      </c>
      <c r="C98" s="44" t="str">
        <f>IF('Р 1. "Общие сведения"'!H98="","",'Р 1. "Общие сведения"'!H98)</f>
        <v/>
      </c>
      <c r="D98" s="44" t="str">
        <f>IF('Р 1. "Общие сведения"'!D98="","",'Р 1. "Общие сведения"'!D98)</f>
        <v/>
      </c>
      <c r="E98" s="44" t="str">
        <f>IF('Р 1. "Общие сведения"'!K98="","",'Р 1. "Общие сведения"'!K98)</f>
        <v/>
      </c>
      <c r="F98" s="45" t="str">
        <f>IF(OR(Таблица26[[#This Row],[Столбец1]]="",Таблица26[[#This Row],[Столбец5]]="",),"",VLOOKUP(A98,Таблица9[#All],2,FALSE))</f>
        <v/>
      </c>
      <c r="G98" s="47" t="str">
        <f>IF(OR(Таблица26[[#This Row],[Столбец1]]="",Таблица26[[#This Row],[Столбец5]]=""),"",VLOOKUP(A98,'Р 5. Финансирование'!$A$9:$D$100,3,FALSE))</f>
        <v/>
      </c>
      <c r="H98" s="47" t="str">
        <f>IF(OR(Таблица26[[#This Row],[Столбец1]]="",Таблица26[[#This Row],[Столбец5]]=""),"",VLOOKUP(A98,'Р 5. Финансирование'!$A$9:$D$100,4,FALSE))</f>
        <v/>
      </c>
      <c r="I98" s="6" t="str">
        <f>IF(OR(Таблица26[[#This Row],[Столбец5]]="отсутствует",Таблица26[[#This Row],[Столбец5]]=""),"",VLOOKUP(A98,'Р 4. Показатели_индикаторы'!$A$9:$J$103,3,FALSE))</f>
        <v/>
      </c>
      <c r="J98" s="6" t="str">
        <f>IF(OR(Таблица26[[#This Row],[Столбец5]]="отсутствует",Таблица26[[#This Row],[Столбец5]]=""),"",VLOOKUP(A98,'Р 4. Показатели_индикаторы'!$A$9:$J$103,4,FALSE))</f>
        <v/>
      </c>
      <c r="K98" s="6" t="str">
        <f>IF(OR(Таблица26[[#This Row],[Столбец1]]="",Таблица26[[#This Row],[Столбец5]]="",Таблица26[[#This Row],[Столбец5]]="отсутствует"),"",VLOOKUP(A98,'Р 4. Показатели_индикаторы'!$A$9:$J$103,5,FALSE))</f>
        <v/>
      </c>
      <c r="L98" s="6" t="str">
        <f>IF(OR(Таблица26[[#This Row],[Столбец1]]="",Таблица26[[#This Row],[Столбец5]]="",Таблица26[[#This Row],[Столбец5]]="отсутствует"),"",VLOOKUP(A98,'Р 4. Показатели_индикаторы'!$A$9:$J$103,6,FALSE))</f>
        <v/>
      </c>
      <c r="M98" s="6" t="str">
        <f>IF(OR(Таблица26[[#This Row],[Столбец1]]="",Таблица26[[#This Row],[Столбец5]]="",Таблица26[[#This Row],[Столбец5]]="отсутствует"),"",VLOOKUP(A98,'Р 4. Показатели_индикаторы'!$A$9:$J$103,7,FALSE))</f>
        <v/>
      </c>
      <c r="N98" s="6" t="str">
        <f>IF(OR(Таблица26[[#This Row],[Столбец1]]="",Таблица26[[#This Row],[Столбец5]]="",Таблица26[[#This Row],[Столбец5]]="отсутствует"),"",VLOOKUP(A98,'Р 4. Показатели_индикаторы'!$A$9:$J$103,8,FALSE))</f>
        <v/>
      </c>
      <c r="O98" s="10" t="str">
        <f>IF(VLOOKUP(A98,'Р 1. "Общие сведения"'!$I$8:$L$179,4,FALSE)="","",VLOOKUP(A98,'Р 1. "Общие сведения"'!$I$8:$L$179,4,FALSE))</f>
        <v/>
      </c>
    </row>
    <row r="99" spans="1:15" x14ac:dyDescent="0.25">
      <c r="A99" s="48" t="str">
        <f>IF('Р 1. "Общие сведения"'!I99="","",'Р 1. "Общие сведения"'!I99)</f>
        <v xml:space="preserve"> </v>
      </c>
      <c r="B99" s="44" t="str">
        <f>IF('Р 1. "Общие сведения"'!J99="","",'Р 1. "Общие сведения"'!J99)</f>
        <v/>
      </c>
      <c r="C99" s="44" t="str">
        <f>IF('Р 1. "Общие сведения"'!H99="","",'Р 1. "Общие сведения"'!H99)</f>
        <v/>
      </c>
      <c r="D99" s="44" t="str">
        <f>IF('Р 1. "Общие сведения"'!D99="","",'Р 1. "Общие сведения"'!D99)</f>
        <v/>
      </c>
      <c r="E99" s="44" t="str">
        <f>IF('Р 1. "Общие сведения"'!K99="","",'Р 1. "Общие сведения"'!K99)</f>
        <v/>
      </c>
      <c r="F99" s="45" t="str">
        <f>IF(OR(Таблица26[[#This Row],[Столбец1]]="",Таблица26[[#This Row],[Столбец5]]="",),"",VLOOKUP(A99,Таблица9[#All],2,FALSE))</f>
        <v/>
      </c>
      <c r="G99" s="47" t="str">
        <f>IF(OR(Таблица26[[#This Row],[Столбец1]]="",Таблица26[[#This Row],[Столбец5]]=""),"",VLOOKUP(A99,'Р 5. Финансирование'!$A$9:$D$100,3,FALSE))</f>
        <v/>
      </c>
      <c r="H99" s="47" t="str">
        <f>IF(OR(Таблица26[[#This Row],[Столбец1]]="",Таблица26[[#This Row],[Столбец5]]=""),"",VLOOKUP(A99,'Р 5. Финансирование'!$A$9:$D$100,4,FALSE))</f>
        <v/>
      </c>
      <c r="I99" s="6" t="str">
        <f>IF(OR(Таблица26[[#This Row],[Столбец5]]="отсутствует",Таблица26[[#This Row],[Столбец5]]=""),"",VLOOKUP(A99,'Р 4. Показатели_индикаторы'!$A$9:$J$103,3,FALSE))</f>
        <v/>
      </c>
      <c r="J99" s="6" t="str">
        <f>IF(OR(Таблица26[[#This Row],[Столбец5]]="отсутствует",Таблица26[[#This Row],[Столбец5]]=""),"",VLOOKUP(A99,'Р 4. Показатели_индикаторы'!$A$9:$J$103,4,FALSE))</f>
        <v/>
      </c>
      <c r="K99" s="6" t="str">
        <f>IF(OR(Таблица26[[#This Row],[Столбец1]]="",Таблица26[[#This Row],[Столбец5]]="",Таблица26[[#This Row],[Столбец5]]="отсутствует"),"",VLOOKUP(A99,'Р 4. Показатели_индикаторы'!$A$9:$J$103,5,FALSE))</f>
        <v/>
      </c>
      <c r="L99" s="6" t="str">
        <f>IF(OR(Таблица26[[#This Row],[Столбец1]]="",Таблица26[[#This Row],[Столбец5]]="",Таблица26[[#This Row],[Столбец5]]="отсутствует"),"",VLOOKUP(A99,'Р 4. Показатели_индикаторы'!$A$9:$J$103,6,FALSE))</f>
        <v/>
      </c>
      <c r="M99" s="6" t="str">
        <f>IF(OR(Таблица26[[#This Row],[Столбец1]]="",Таблица26[[#This Row],[Столбец5]]="",Таблица26[[#This Row],[Столбец5]]="отсутствует"),"",VLOOKUP(A99,'Р 4. Показатели_индикаторы'!$A$9:$J$103,7,FALSE))</f>
        <v/>
      </c>
      <c r="N99" s="6" t="str">
        <f>IF(OR(Таблица26[[#This Row],[Столбец1]]="",Таблица26[[#This Row],[Столбец5]]="",Таблица26[[#This Row],[Столбец5]]="отсутствует"),"",VLOOKUP(A99,'Р 4. Показатели_индикаторы'!$A$9:$J$103,8,FALSE))</f>
        <v/>
      </c>
      <c r="O99" s="10" t="str">
        <f>IF(VLOOKUP(A99,'Р 1. "Общие сведения"'!$I$8:$L$179,4,FALSE)="","",VLOOKUP(A99,'Р 1. "Общие сведения"'!$I$8:$L$179,4,FALSE))</f>
        <v/>
      </c>
    </row>
    <row r="100" spans="1:15" x14ac:dyDescent="0.25">
      <c r="A100" s="48" t="str">
        <f>IF('Р 1. "Общие сведения"'!I100="","",'Р 1. "Общие сведения"'!I100)</f>
        <v xml:space="preserve"> </v>
      </c>
      <c r="B100" s="44" t="str">
        <f>IF('Р 1. "Общие сведения"'!J100="","",'Р 1. "Общие сведения"'!J100)</f>
        <v/>
      </c>
      <c r="C100" s="44" t="str">
        <f>IF('Р 1. "Общие сведения"'!H100="","",'Р 1. "Общие сведения"'!H100)</f>
        <v/>
      </c>
      <c r="D100" s="44" t="str">
        <f>IF('Р 1. "Общие сведения"'!D100="","",'Р 1. "Общие сведения"'!D100)</f>
        <v/>
      </c>
      <c r="E100" s="44" t="str">
        <f>IF('Р 1. "Общие сведения"'!K100="","",'Р 1. "Общие сведения"'!K100)</f>
        <v/>
      </c>
      <c r="F100" s="45" t="str">
        <f>IF(OR(Таблица26[[#This Row],[Столбец1]]="",Таблица26[[#This Row],[Столбец5]]="",),"",VLOOKUP(A100,Таблица9[#All],2,FALSE))</f>
        <v/>
      </c>
      <c r="G100" s="47" t="str">
        <f>IF(OR(Таблица26[[#This Row],[Столбец1]]="",Таблица26[[#This Row],[Столбец5]]=""),"",VLOOKUP(A100,'Р 5. Финансирование'!$A$9:$D$100,3,FALSE))</f>
        <v/>
      </c>
      <c r="H100" s="47" t="str">
        <f>IF(OR(Таблица26[[#This Row],[Столбец1]]="",Таблица26[[#This Row],[Столбец5]]=""),"",VLOOKUP(A100,'Р 5. Финансирование'!$A$9:$D$100,4,FALSE))</f>
        <v/>
      </c>
      <c r="I100" s="6" t="str">
        <f>IF(OR(Таблица26[[#This Row],[Столбец5]]="отсутствует",Таблица26[[#This Row],[Столбец5]]=""),"",VLOOKUP(A100,'Р 4. Показатели_индикаторы'!$A$9:$J$103,3,FALSE))</f>
        <v/>
      </c>
      <c r="J100" s="6" t="str">
        <f>IF(OR(Таблица26[[#This Row],[Столбец5]]="отсутствует",Таблица26[[#This Row],[Столбец5]]=""),"",VLOOKUP(A100,'Р 4. Показатели_индикаторы'!$A$9:$J$103,4,FALSE))</f>
        <v/>
      </c>
      <c r="K100" s="6" t="str">
        <f>IF(OR(Таблица26[[#This Row],[Столбец1]]="",Таблица26[[#This Row],[Столбец5]]="",Таблица26[[#This Row],[Столбец5]]="отсутствует"),"",VLOOKUP(A100,'Р 4. Показатели_индикаторы'!$A$9:$J$103,5,FALSE))</f>
        <v/>
      </c>
      <c r="L100" s="6" t="str">
        <f>IF(OR(Таблица26[[#This Row],[Столбец1]]="",Таблица26[[#This Row],[Столбец5]]="",Таблица26[[#This Row],[Столбец5]]="отсутствует"),"",VLOOKUP(A100,'Р 4. Показатели_индикаторы'!$A$9:$J$103,6,FALSE))</f>
        <v/>
      </c>
      <c r="M100" s="6" t="str">
        <f>IF(OR(Таблица26[[#This Row],[Столбец1]]="",Таблица26[[#This Row],[Столбец5]]="",Таблица26[[#This Row],[Столбец5]]="отсутствует"),"",VLOOKUP(A100,'Р 4. Показатели_индикаторы'!$A$9:$J$103,7,FALSE))</f>
        <v/>
      </c>
      <c r="N100" s="6" t="str">
        <f>IF(OR(Таблица26[[#This Row],[Столбец1]]="",Таблица26[[#This Row],[Столбец5]]="",Таблица26[[#This Row],[Столбец5]]="отсутствует"),"",VLOOKUP(A100,'Р 4. Показатели_индикаторы'!$A$9:$J$103,8,FALSE))</f>
        <v/>
      </c>
      <c r="O100" s="10" t="str">
        <f>IF(VLOOKUP(A100,'Р 1. "Общие сведения"'!$I$8:$L$179,4,FALSE)="","",VLOOKUP(A100,'Р 1. "Общие сведения"'!$I$8:$L$179,4,FALSE))</f>
        <v/>
      </c>
    </row>
    <row r="101" spans="1:15" x14ac:dyDescent="0.25">
      <c r="A101" s="48" t="str">
        <f>IF('Р 1. "Общие сведения"'!I101="","",'Р 1. "Общие сведения"'!I101)</f>
        <v xml:space="preserve"> </v>
      </c>
      <c r="B101" s="44" t="str">
        <f>IF('Р 1. "Общие сведения"'!J101="","",'Р 1. "Общие сведения"'!J101)</f>
        <v/>
      </c>
      <c r="C101" s="44" t="str">
        <f>IF('Р 1. "Общие сведения"'!H101="","",'Р 1. "Общие сведения"'!H101)</f>
        <v/>
      </c>
      <c r="D101" s="44" t="str">
        <f>IF('Р 1. "Общие сведения"'!D101="","",'Р 1. "Общие сведения"'!D101)</f>
        <v/>
      </c>
      <c r="E101" s="44" t="str">
        <f>IF('Р 1. "Общие сведения"'!K101="","",'Р 1. "Общие сведения"'!K101)</f>
        <v/>
      </c>
      <c r="F101" s="45" t="str">
        <f>IF(OR(Таблица26[[#This Row],[Столбец1]]="",Таблица26[[#This Row],[Столбец5]]="",),"",VLOOKUP(A101,Таблица9[#All],2,FALSE))</f>
        <v/>
      </c>
      <c r="G101" s="47" t="str">
        <f>IF(OR(Таблица26[[#This Row],[Столбец1]]="",Таблица26[[#This Row],[Столбец5]]=""),"",VLOOKUP(A101,'Р 5. Финансирование'!$A$9:$D$100,3,FALSE))</f>
        <v/>
      </c>
      <c r="H101" s="47" t="str">
        <f>IF(OR(Таблица26[[#This Row],[Столбец1]]="",Таблица26[[#This Row],[Столбец5]]=""),"",VLOOKUP(A101,'Р 5. Финансирование'!$A$9:$D$100,4,FALSE))</f>
        <v/>
      </c>
      <c r="I101" s="6" t="str">
        <f>IF(OR(Таблица26[[#This Row],[Столбец5]]="отсутствует",Таблица26[[#This Row],[Столбец5]]=""),"",VLOOKUP(A101,'Р 4. Показатели_индикаторы'!$A$9:$J$103,3,FALSE))</f>
        <v/>
      </c>
      <c r="J101" s="6" t="str">
        <f>IF(OR(Таблица26[[#This Row],[Столбец5]]="отсутствует",Таблица26[[#This Row],[Столбец5]]=""),"",VLOOKUP(A101,'Р 4. Показатели_индикаторы'!$A$9:$J$103,4,FALSE))</f>
        <v/>
      </c>
      <c r="K101" s="6" t="str">
        <f>IF(OR(Таблица26[[#This Row],[Столбец1]]="",Таблица26[[#This Row],[Столбец5]]="",Таблица26[[#This Row],[Столбец5]]="отсутствует"),"",VLOOKUP(A101,'Р 4. Показатели_индикаторы'!$A$9:$J$103,5,FALSE))</f>
        <v/>
      </c>
      <c r="L101" s="6" t="str">
        <f>IF(OR(Таблица26[[#This Row],[Столбец1]]="",Таблица26[[#This Row],[Столбец5]]="",Таблица26[[#This Row],[Столбец5]]="отсутствует"),"",VLOOKUP(A101,'Р 4. Показатели_индикаторы'!$A$9:$J$103,6,FALSE))</f>
        <v/>
      </c>
      <c r="M101" s="6" t="str">
        <f>IF(OR(Таблица26[[#This Row],[Столбец1]]="",Таблица26[[#This Row],[Столбец5]]="",Таблица26[[#This Row],[Столбец5]]="отсутствует"),"",VLOOKUP(A101,'Р 4. Показатели_индикаторы'!$A$9:$J$103,7,FALSE))</f>
        <v/>
      </c>
      <c r="N101" s="6" t="str">
        <f>IF(OR(Таблица26[[#This Row],[Столбец1]]="",Таблица26[[#This Row],[Столбец5]]="",Таблица26[[#This Row],[Столбец5]]="отсутствует"),"",VLOOKUP(A101,'Р 4. Показатели_индикаторы'!$A$9:$J$103,8,FALSE))</f>
        <v/>
      </c>
      <c r="O101" s="10" t="str">
        <f>IF(VLOOKUP(A101,'Р 1. "Общие сведения"'!$I$8:$L$179,4,FALSE)="","",VLOOKUP(A101,'Р 1. "Общие сведения"'!$I$8:$L$179,4,FALSE))</f>
        <v/>
      </c>
    </row>
    <row r="102" spans="1:15" x14ac:dyDescent="0.25">
      <c r="A102" s="48" t="str">
        <f>IF('Р 1. "Общие сведения"'!I102="","",'Р 1. "Общие сведения"'!I102)</f>
        <v xml:space="preserve"> </v>
      </c>
      <c r="B102" s="44" t="str">
        <f>IF('Р 1. "Общие сведения"'!J102="","",'Р 1. "Общие сведения"'!J102)</f>
        <v/>
      </c>
      <c r="C102" s="44" t="str">
        <f>IF('Р 1. "Общие сведения"'!H102="","",'Р 1. "Общие сведения"'!H102)</f>
        <v/>
      </c>
      <c r="D102" s="44" t="str">
        <f>IF('Р 1. "Общие сведения"'!D102="","",'Р 1. "Общие сведения"'!D102)</f>
        <v/>
      </c>
      <c r="E102" s="44" t="str">
        <f>IF('Р 1. "Общие сведения"'!K102="","",'Р 1. "Общие сведения"'!K102)</f>
        <v/>
      </c>
      <c r="F102" s="45" t="str">
        <f>IF(OR(Таблица26[[#This Row],[Столбец1]]="",Таблица26[[#This Row],[Столбец5]]="",),"",VLOOKUP(A102,Таблица9[#All],2,FALSE))</f>
        <v/>
      </c>
      <c r="G102" s="47" t="str">
        <f>IF(OR(Таблица26[[#This Row],[Столбец1]]="",Таблица26[[#This Row],[Столбец5]]=""),"",VLOOKUP(A102,'Р 5. Финансирование'!$A$9:$D$100,3,FALSE))</f>
        <v/>
      </c>
      <c r="H102" s="47" t="str">
        <f>IF(OR(Таблица26[[#This Row],[Столбец1]]="",Таблица26[[#This Row],[Столбец5]]=""),"",VLOOKUP(A102,'Р 5. Финансирование'!$A$9:$D$100,4,FALSE))</f>
        <v/>
      </c>
      <c r="I102" s="6" t="str">
        <f>IF(OR(Таблица26[[#This Row],[Столбец5]]="отсутствует",Таблица26[[#This Row],[Столбец5]]=""),"",VLOOKUP(A102,'Р 4. Показатели_индикаторы'!$A$9:$J$103,3,FALSE))</f>
        <v/>
      </c>
      <c r="J102" s="6" t="str">
        <f>IF(OR(Таблица26[[#This Row],[Столбец5]]="отсутствует",Таблица26[[#This Row],[Столбец5]]=""),"",VLOOKUP(A102,'Р 4. Показатели_индикаторы'!$A$9:$J$103,4,FALSE))</f>
        <v/>
      </c>
      <c r="K102" s="6" t="str">
        <f>IF(OR(Таблица26[[#This Row],[Столбец1]]="",Таблица26[[#This Row],[Столбец5]]="",Таблица26[[#This Row],[Столбец5]]="отсутствует"),"",VLOOKUP(A102,'Р 4. Показатели_индикаторы'!$A$9:$J$103,5,FALSE))</f>
        <v/>
      </c>
      <c r="L102" s="6" t="str">
        <f>IF(OR(Таблица26[[#This Row],[Столбец1]]="",Таблица26[[#This Row],[Столбец5]]="",Таблица26[[#This Row],[Столбец5]]="отсутствует"),"",VLOOKUP(A102,'Р 4. Показатели_индикаторы'!$A$9:$J$103,6,FALSE))</f>
        <v/>
      </c>
      <c r="M102" s="6" t="str">
        <f>IF(OR(Таблица26[[#This Row],[Столбец1]]="",Таблица26[[#This Row],[Столбец5]]="",Таблица26[[#This Row],[Столбец5]]="отсутствует"),"",VLOOKUP(A102,'Р 4. Показатели_индикаторы'!$A$9:$J$103,7,FALSE))</f>
        <v/>
      </c>
      <c r="N102" s="6" t="str">
        <f>IF(OR(Таблица26[[#This Row],[Столбец1]]="",Таблица26[[#This Row],[Столбец5]]="",Таблица26[[#This Row],[Столбец5]]="отсутствует"),"",VLOOKUP(A102,'Р 4. Показатели_индикаторы'!$A$9:$J$103,8,FALSE))</f>
        <v/>
      </c>
      <c r="O102" s="10" t="str">
        <f>IF(VLOOKUP(A102,'Р 1. "Общие сведения"'!$I$8:$L$179,4,FALSE)="","",VLOOKUP(A102,'Р 1. "Общие сведения"'!$I$8:$L$179,4,FALSE))</f>
        <v/>
      </c>
    </row>
    <row r="103" spans="1:15" x14ac:dyDescent="0.25">
      <c r="A103" s="48" t="str">
        <f>IF('Р 1. "Общие сведения"'!I103="","",'Р 1. "Общие сведения"'!I103)</f>
        <v xml:space="preserve"> </v>
      </c>
      <c r="B103" s="44" t="str">
        <f>IF('Р 1. "Общие сведения"'!J103="","",'Р 1. "Общие сведения"'!J103)</f>
        <v/>
      </c>
      <c r="C103" s="44" t="str">
        <f>IF('Р 1. "Общие сведения"'!H103="","",'Р 1. "Общие сведения"'!H103)</f>
        <v/>
      </c>
      <c r="D103" s="44" t="str">
        <f>IF('Р 1. "Общие сведения"'!D103="","",'Р 1. "Общие сведения"'!D103)</f>
        <v/>
      </c>
      <c r="E103" s="44" t="str">
        <f>IF('Р 1. "Общие сведения"'!K103="","",'Р 1. "Общие сведения"'!K103)</f>
        <v/>
      </c>
      <c r="F103" s="45" t="str">
        <f>IF(OR(Таблица26[[#This Row],[Столбец1]]="",Таблица26[[#This Row],[Столбец5]]="",),"",VLOOKUP(A103,Таблица9[#All],2,FALSE))</f>
        <v/>
      </c>
      <c r="G103" s="47" t="str">
        <f>IF(OR(Таблица26[[#This Row],[Столбец1]]="",Таблица26[[#This Row],[Столбец5]]=""),"",VLOOKUP(A103,'Р 5. Финансирование'!$A$9:$D$100,3,FALSE))</f>
        <v/>
      </c>
      <c r="H103" s="47" t="str">
        <f>IF(OR(Таблица26[[#This Row],[Столбец1]]="",Таблица26[[#This Row],[Столбец5]]=""),"",VLOOKUP(A103,'Р 5. Финансирование'!$A$9:$D$100,4,FALSE))</f>
        <v/>
      </c>
      <c r="I103" s="6" t="str">
        <f>IF(OR(Таблица26[[#This Row],[Столбец5]]="отсутствует",Таблица26[[#This Row],[Столбец5]]=""),"",VLOOKUP(A103,'Р 4. Показатели_индикаторы'!$A$9:$J$103,3,FALSE))</f>
        <v/>
      </c>
      <c r="J103" s="6" t="str">
        <f>IF(OR(Таблица26[[#This Row],[Столбец5]]="отсутствует",Таблица26[[#This Row],[Столбец5]]=""),"",VLOOKUP(A103,'Р 4. Показатели_индикаторы'!$A$9:$J$103,4,FALSE))</f>
        <v/>
      </c>
      <c r="K103" s="6" t="str">
        <f>IF(OR(Таблица26[[#This Row],[Столбец1]]="",Таблица26[[#This Row],[Столбец5]]="",Таблица26[[#This Row],[Столбец5]]="отсутствует"),"",VLOOKUP(A103,'Р 4. Показатели_индикаторы'!$A$9:$J$103,5,FALSE))</f>
        <v/>
      </c>
      <c r="L103" s="6" t="str">
        <f>IF(OR(Таблица26[[#This Row],[Столбец1]]="",Таблица26[[#This Row],[Столбец5]]="",Таблица26[[#This Row],[Столбец5]]="отсутствует"),"",VLOOKUP(A103,'Р 4. Показатели_индикаторы'!$A$9:$J$103,6,FALSE))</f>
        <v/>
      </c>
      <c r="M103" s="6" t="str">
        <f>IF(OR(Таблица26[[#This Row],[Столбец1]]="",Таблица26[[#This Row],[Столбец5]]="",Таблица26[[#This Row],[Столбец5]]="отсутствует"),"",VLOOKUP(A103,'Р 4. Показатели_индикаторы'!$A$9:$J$103,7,FALSE))</f>
        <v/>
      </c>
      <c r="N103" s="6" t="str">
        <f>IF(OR(Таблица26[[#This Row],[Столбец1]]="",Таблица26[[#This Row],[Столбец5]]="",Таблица26[[#This Row],[Столбец5]]="отсутствует"),"",VLOOKUP(A103,'Р 4. Показатели_индикаторы'!$A$9:$J$103,8,FALSE))</f>
        <v/>
      </c>
      <c r="O103" s="10" t="str">
        <f>IF(VLOOKUP(A103,'Р 1. "Общие сведения"'!$I$8:$L$179,4,FALSE)="","",VLOOKUP(A103,'Р 1. "Общие сведения"'!$I$8:$L$179,4,FALSE))</f>
        <v/>
      </c>
    </row>
    <row r="104" spans="1:15" x14ac:dyDescent="0.25">
      <c r="A104" s="48" t="str">
        <f>IF('Р 1. "Общие сведения"'!I104="","",'Р 1. "Общие сведения"'!I104)</f>
        <v xml:space="preserve"> </v>
      </c>
      <c r="B104" s="44" t="str">
        <f>IF('Р 1. "Общие сведения"'!J104="","",'Р 1. "Общие сведения"'!J104)</f>
        <v/>
      </c>
      <c r="C104" s="44" t="str">
        <f>IF('Р 1. "Общие сведения"'!H104="","",'Р 1. "Общие сведения"'!H104)</f>
        <v/>
      </c>
      <c r="D104" s="44" t="str">
        <f>IF('Р 1. "Общие сведения"'!D104="","",'Р 1. "Общие сведения"'!D104)</f>
        <v/>
      </c>
      <c r="E104" s="44" t="str">
        <f>IF('Р 1. "Общие сведения"'!K104="","",'Р 1. "Общие сведения"'!K104)</f>
        <v/>
      </c>
      <c r="F104" s="45" t="str">
        <f>IF(OR(Таблица26[[#This Row],[Столбец1]]="",Таблица26[[#This Row],[Столбец5]]="",),"",VLOOKUP(A104,Таблица9[#All],2,FALSE))</f>
        <v/>
      </c>
      <c r="G104" s="47" t="str">
        <f>IF(OR(Таблица26[[#This Row],[Столбец1]]="",Таблица26[[#This Row],[Столбец5]]=""),"",VLOOKUP(A104,'Р 5. Финансирование'!$A$9:$D$100,3,FALSE))</f>
        <v/>
      </c>
      <c r="H104" s="47" t="str">
        <f>IF(OR(Таблица26[[#This Row],[Столбец1]]="",Таблица26[[#This Row],[Столбец5]]=""),"",VLOOKUP(A104,'Р 5. Финансирование'!$A$9:$D$100,4,FALSE))</f>
        <v/>
      </c>
      <c r="I104" s="6" t="str">
        <f>IF(OR(Таблица26[[#This Row],[Столбец5]]="отсутствует",Таблица26[[#This Row],[Столбец5]]=""),"",VLOOKUP(A104,'Р 4. Показатели_индикаторы'!$A$9:$J$103,3,FALSE))</f>
        <v/>
      </c>
      <c r="J104" s="6" t="str">
        <f>IF(OR(Таблица26[[#This Row],[Столбец5]]="отсутствует",Таблица26[[#This Row],[Столбец5]]=""),"",VLOOKUP(A104,'Р 4. Показатели_индикаторы'!$A$9:$J$103,4,FALSE))</f>
        <v/>
      </c>
      <c r="K104" s="6" t="str">
        <f>IF(OR(Таблица26[[#This Row],[Столбец1]]="",Таблица26[[#This Row],[Столбец5]]="",Таблица26[[#This Row],[Столбец5]]="отсутствует"),"",VLOOKUP(A104,'Р 4. Показатели_индикаторы'!$A$9:$J$103,5,FALSE))</f>
        <v/>
      </c>
      <c r="L104" s="6" t="str">
        <f>IF(OR(Таблица26[[#This Row],[Столбец1]]="",Таблица26[[#This Row],[Столбец5]]="",Таблица26[[#This Row],[Столбец5]]="отсутствует"),"",VLOOKUP(A104,'Р 4. Показатели_индикаторы'!$A$9:$J$103,6,FALSE))</f>
        <v/>
      </c>
      <c r="M104" s="6" t="str">
        <f>IF(OR(Таблица26[[#This Row],[Столбец1]]="",Таблица26[[#This Row],[Столбец5]]="",Таблица26[[#This Row],[Столбец5]]="отсутствует"),"",VLOOKUP(A104,'Р 4. Показатели_индикаторы'!$A$9:$J$103,7,FALSE))</f>
        <v/>
      </c>
      <c r="N104" s="6" t="str">
        <f>IF(OR(Таблица26[[#This Row],[Столбец1]]="",Таблица26[[#This Row],[Столбец5]]="",Таблица26[[#This Row],[Столбец5]]="отсутствует"),"",VLOOKUP(A104,'Р 4. Показатели_индикаторы'!$A$9:$J$103,8,FALSE))</f>
        <v/>
      </c>
      <c r="O104" s="10" t="str">
        <f>IF(VLOOKUP(A104,'Р 1. "Общие сведения"'!$I$8:$L$179,4,FALSE)="","",VLOOKUP(A104,'Р 1. "Общие сведения"'!$I$8:$L$179,4,FALSE))</f>
        <v/>
      </c>
    </row>
    <row r="105" spans="1:15" x14ac:dyDescent="0.25">
      <c r="A105" s="48" t="str">
        <f>IF('Р 1. "Общие сведения"'!I105="","",'Р 1. "Общие сведения"'!I105)</f>
        <v xml:space="preserve"> </v>
      </c>
      <c r="B105" s="44" t="str">
        <f>IF('Р 1. "Общие сведения"'!J105="","",'Р 1. "Общие сведения"'!J105)</f>
        <v/>
      </c>
      <c r="C105" s="44" t="str">
        <f>IF('Р 1. "Общие сведения"'!H105="","",'Р 1. "Общие сведения"'!H105)</f>
        <v/>
      </c>
      <c r="D105" s="44" t="str">
        <f>IF('Р 1. "Общие сведения"'!D105="","",'Р 1. "Общие сведения"'!D105)</f>
        <v/>
      </c>
      <c r="E105" s="44" t="str">
        <f>IF('Р 1. "Общие сведения"'!K105="","",'Р 1. "Общие сведения"'!K105)</f>
        <v/>
      </c>
      <c r="F105" s="45" t="str">
        <f>IF(OR(Таблица26[[#This Row],[Столбец1]]="",Таблица26[[#This Row],[Столбец5]]="",),"",VLOOKUP(A105,Таблица9[#All],2,FALSE))</f>
        <v/>
      </c>
      <c r="G105" s="47" t="str">
        <f>IF(OR(Таблица26[[#This Row],[Столбец1]]="",Таблица26[[#This Row],[Столбец5]]=""),"",VLOOKUP(A105,'Р 5. Финансирование'!$A$9:$D$100,3,FALSE))</f>
        <v/>
      </c>
      <c r="H105" s="47" t="str">
        <f>IF(OR(Таблица26[[#This Row],[Столбец1]]="",Таблица26[[#This Row],[Столбец5]]=""),"",VLOOKUP(A105,'Р 5. Финансирование'!$A$9:$D$100,4,FALSE))</f>
        <v/>
      </c>
      <c r="I105" s="6" t="str">
        <f>IF(OR(Таблица26[[#This Row],[Столбец5]]="отсутствует",Таблица26[[#This Row],[Столбец5]]=""),"",VLOOKUP(A105,'Р 4. Показатели_индикаторы'!$A$9:$J$103,3,FALSE))</f>
        <v/>
      </c>
      <c r="J105" s="6" t="str">
        <f>IF(OR(Таблица26[[#This Row],[Столбец5]]="отсутствует",Таблица26[[#This Row],[Столбец5]]=""),"",VLOOKUP(A105,'Р 4. Показатели_индикаторы'!$A$9:$J$103,4,FALSE))</f>
        <v/>
      </c>
      <c r="K105" s="6" t="str">
        <f>IF(OR(Таблица26[[#This Row],[Столбец1]]="",Таблица26[[#This Row],[Столбец5]]="",Таблица26[[#This Row],[Столбец5]]="отсутствует"),"",VLOOKUP(A105,'Р 4. Показатели_индикаторы'!$A$9:$J$103,5,FALSE))</f>
        <v/>
      </c>
      <c r="L105" s="6" t="str">
        <f>IF(OR(Таблица26[[#This Row],[Столбец1]]="",Таблица26[[#This Row],[Столбец5]]="",Таблица26[[#This Row],[Столбец5]]="отсутствует"),"",VLOOKUP(A105,'Р 4. Показатели_индикаторы'!$A$9:$J$103,6,FALSE))</f>
        <v/>
      </c>
      <c r="M105" s="6" t="str">
        <f>IF(OR(Таблица26[[#This Row],[Столбец1]]="",Таблица26[[#This Row],[Столбец5]]="",Таблица26[[#This Row],[Столбец5]]="отсутствует"),"",VLOOKUP(A105,'Р 4. Показатели_индикаторы'!$A$9:$J$103,7,FALSE))</f>
        <v/>
      </c>
      <c r="N105" s="6" t="str">
        <f>IF(OR(Таблица26[[#This Row],[Столбец1]]="",Таблица26[[#This Row],[Столбец5]]="",Таблица26[[#This Row],[Столбец5]]="отсутствует"),"",VLOOKUP(A105,'Р 4. Показатели_индикаторы'!$A$9:$J$103,8,FALSE))</f>
        <v/>
      </c>
      <c r="O105" s="10" t="str">
        <f>IF(VLOOKUP(A105,'Р 1. "Общие сведения"'!$I$8:$L$179,4,FALSE)="","",VLOOKUP(A105,'Р 1. "Общие сведения"'!$I$8:$L$179,4,FALSE))</f>
        <v/>
      </c>
    </row>
    <row r="106" spans="1:15" x14ac:dyDescent="0.25">
      <c r="A106" s="48" t="str">
        <f>IF('Р 1. "Общие сведения"'!I106="","",'Р 1. "Общие сведения"'!I106)</f>
        <v xml:space="preserve"> </v>
      </c>
      <c r="B106" s="44" t="str">
        <f>IF('Р 1. "Общие сведения"'!J106="","",'Р 1. "Общие сведения"'!J106)</f>
        <v/>
      </c>
      <c r="C106" s="44" t="str">
        <f>IF('Р 1. "Общие сведения"'!H106="","",'Р 1. "Общие сведения"'!H106)</f>
        <v/>
      </c>
      <c r="D106" s="44" t="str">
        <f>IF('Р 1. "Общие сведения"'!D106="","",'Р 1. "Общие сведения"'!D106)</f>
        <v/>
      </c>
      <c r="E106" s="44" t="str">
        <f>IF('Р 1. "Общие сведения"'!K106="","",'Р 1. "Общие сведения"'!K106)</f>
        <v/>
      </c>
      <c r="F106" s="45" t="str">
        <f>IF(OR(Таблица26[[#This Row],[Столбец1]]="",Таблица26[[#This Row],[Столбец5]]="",),"",VLOOKUP(A106,Таблица9[#All],2,FALSE))</f>
        <v/>
      </c>
      <c r="G106" s="47" t="str">
        <f>IF(OR(Таблица26[[#This Row],[Столбец1]]="",Таблица26[[#This Row],[Столбец5]]=""),"",VLOOKUP(A106,'Р 5. Финансирование'!$A$9:$D$100,3,FALSE))</f>
        <v/>
      </c>
      <c r="H106" s="47" t="str">
        <f>IF(OR(Таблица26[[#This Row],[Столбец1]]="",Таблица26[[#This Row],[Столбец5]]=""),"",VLOOKUP(A106,'Р 5. Финансирование'!$A$9:$D$100,4,FALSE))</f>
        <v/>
      </c>
      <c r="I106" s="6" t="str">
        <f>IF(OR(Таблица26[[#This Row],[Столбец5]]="отсутствует",Таблица26[[#This Row],[Столбец5]]=""),"",VLOOKUP(A106,'Р 4. Показатели_индикаторы'!$A$9:$J$103,3,FALSE))</f>
        <v/>
      </c>
      <c r="J106" s="6" t="str">
        <f>IF(OR(Таблица26[[#This Row],[Столбец5]]="отсутствует",Таблица26[[#This Row],[Столбец5]]=""),"",VLOOKUP(A106,'Р 4. Показатели_индикаторы'!$A$9:$J$103,4,FALSE))</f>
        <v/>
      </c>
      <c r="K106" s="6" t="str">
        <f>IF(OR(Таблица26[[#This Row],[Столбец1]]="",Таблица26[[#This Row],[Столбец5]]="",Таблица26[[#This Row],[Столбец5]]="отсутствует"),"",VLOOKUP(A106,'Р 4. Показатели_индикаторы'!$A$9:$J$103,5,FALSE))</f>
        <v/>
      </c>
      <c r="L106" s="6" t="str">
        <f>IF(OR(Таблица26[[#This Row],[Столбец1]]="",Таблица26[[#This Row],[Столбец5]]="",Таблица26[[#This Row],[Столбец5]]="отсутствует"),"",VLOOKUP(A106,'Р 4. Показатели_индикаторы'!$A$9:$J$103,6,FALSE))</f>
        <v/>
      </c>
      <c r="M106" s="6" t="str">
        <f>IF(OR(Таблица26[[#This Row],[Столбец1]]="",Таблица26[[#This Row],[Столбец5]]="",Таблица26[[#This Row],[Столбец5]]="отсутствует"),"",VLOOKUP(A106,'Р 4. Показатели_индикаторы'!$A$9:$J$103,7,FALSE))</f>
        <v/>
      </c>
      <c r="N106" s="6" t="str">
        <f>IF(OR(Таблица26[[#This Row],[Столбец1]]="",Таблица26[[#This Row],[Столбец5]]="",Таблица26[[#This Row],[Столбец5]]="отсутствует"),"",VLOOKUP(A106,'Р 4. Показатели_индикаторы'!$A$9:$J$103,8,FALSE))</f>
        <v/>
      </c>
      <c r="O106" s="10" t="str">
        <f>IF(VLOOKUP(A106,'Р 1. "Общие сведения"'!$I$8:$L$179,4,FALSE)="","",VLOOKUP(A106,'Р 1. "Общие сведения"'!$I$8:$L$179,4,FALSE))</f>
        <v/>
      </c>
    </row>
    <row r="107" spans="1:15" x14ac:dyDescent="0.25">
      <c r="A107" s="48" t="str">
        <f>IF('Р 1. "Общие сведения"'!I107="","",'Р 1. "Общие сведения"'!I107)</f>
        <v xml:space="preserve"> </v>
      </c>
      <c r="B107" s="44" t="str">
        <f>IF('Р 1. "Общие сведения"'!J107="","",'Р 1. "Общие сведения"'!J107)</f>
        <v/>
      </c>
      <c r="C107" s="44" t="str">
        <f>IF('Р 1. "Общие сведения"'!H107="","",'Р 1. "Общие сведения"'!H107)</f>
        <v/>
      </c>
      <c r="D107" s="44" t="str">
        <f>IF('Р 1. "Общие сведения"'!D107="","",'Р 1. "Общие сведения"'!D107)</f>
        <v/>
      </c>
      <c r="E107" s="44" t="str">
        <f>IF('Р 1. "Общие сведения"'!K107="","",'Р 1. "Общие сведения"'!K107)</f>
        <v/>
      </c>
      <c r="F107" s="45" t="str">
        <f>IF(OR(Таблица26[[#This Row],[Столбец1]]="",Таблица26[[#This Row],[Столбец5]]="",),"",VLOOKUP(A107,Таблица9[#All],2,FALSE))</f>
        <v/>
      </c>
      <c r="G107" s="47" t="str">
        <f>IF(OR(Таблица26[[#This Row],[Столбец1]]="",Таблица26[[#This Row],[Столбец5]]=""),"",VLOOKUP(A107,'Р 5. Финансирование'!$A$9:$D$100,3,FALSE))</f>
        <v/>
      </c>
      <c r="H107" s="47" t="str">
        <f>IF(OR(Таблица26[[#This Row],[Столбец1]]="",Таблица26[[#This Row],[Столбец5]]=""),"",VLOOKUP(A107,'Р 5. Финансирование'!$A$9:$D$100,4,FALSE))</f>
        <v/>
      </c>
      <c r="I107" s="6" t="str">
        <f>IF(OR(Таблица26[[#This Row],[Столбец5]]="отсутствует",Таблица26[[#This Row],[Столбец5]]=""),"",VLOOKUP(A107,'Р 4. Показатели_индикаторы'!$A$9:$J$103,3,FALSE))</f>
        <v/>
      </c>
      <c r="J107" s="6" t="str">
        <f>IF(OR(Таблица26[[#This Row],[Столбец5]]="отсутствует",Таблица26[[#This Row],[Столбец5]]=""),"",VLOOKUP(A107,'Р 4. Показатели_индикаторы'!$A$9:$J$103,4,FALSE))</f>
        <v/>
      </c>
      <c r="K107" s="6" t="str">
        <f>IF(OR(Таблица26[[#This Row],[Столбец1]]="",Таблица26[[#This Row],[Столбец5]]="",Таблица26[[#This Row],[Столбец5]]="отсутствует"),"",VLOOKUP(A107,'Р 4. Показатели_индикаторы'!$A$9:$J$103,5,FALSE))</f>
        <v/>
      </c>
      <c r="L107" s="6" t="str">
        <f>IF(OR(Таблица26[[#This Row],[Столбец1]]="",Таблица26[[#This Row],[Столбец5]]="",Таблица26[[#This Row],[Столбец5]]="отсутствует"),"",VLOOKUP(A107,'Р 4. Показатели_индикаторы'!$A$9:$J$103,6,FALSE))</f>
        <v/>
      </c>
      <c r="M107" s="6" t="str">
        <f>IF(OR(Таблица26[[#This Row],[Столбец1]]="",Таблица26[[#This Row],[Столбец5]]="",Таблица26[[#This Row],[Столбец5]]="отсутствует"),"",VLOOKUP(A107,'Р 4. Показатели_индикаторы'!$A$9:$J$103,7,FALSE))</f>
        <v/>
      </c>
      <c r="N107" s="6" t="str">
        <f>IF(OR(Таблица26[[#This Row],[Столбец1]]="",Таблица26[[#This Row],[Столбец5]]="",Таблица26[[#This Row],[Столбец5]]="отсутствует"),"",VLOOKUP(A107,'Р 4. Показатели_индикаторы'!$A$9:$J$103,8,FALSE))</f>
        <v/>
      </c>
      <c r="O107" s="10" t="str">
        <f>IF(VLOOKUP(A107,'Р 1. "Общие сведения"'!$I$8:$L$179,4,FALSE)="","",VLOOKUP(A107,'Р 1. "Общие сведения"'!$I$8:$L$179,4,FALSE))</f>
        <v/>
      </c>
    </row>
    <row r="108" spans="1:15" x14ac:dyDescent="0.25">
      <c r="A108" s="48" t="str">
        <f>IF('Р 1. "Общие сведения"'!I108="","",'Р 1. "Общие сведения"'!I108)</f>
        <v xml:space="preserve"> </v>
      </c>
      <c r="B108" s="44" t="str">
        <f>IF('Р 1. "Общие сведения"'!J108="","",'Р 1. "Общие сведения"'!J108)</f>
        <v/>
      </c>
      <c r="C108" s="44" t="str">
        <f>IF('Р 1. "Общие сведения"'!H108="","",'Р 1. "Общие сведения"'!H108)</f>
        <v/>
      </c>
      <c r="D108" s="44" t="str">
        <f>IF('Р 1. "Общие сведения"'!D108="","",'Р 1. "Общие сведения"'!D108)</f>
        <v/>
      </c>
      <c r="E108" s="44" t="str">
        <f>IF('Р 1. "Общие сведения"'!K108="","",'Р 1. "Общие сведения"'!K108)</f>
        <v/>
      </c>
      <c r="F108" s="45" t="str">
        <f>IF(OR(Таблица26[[#This Row],[Столбец1]]="",Таблица26[[#This Row],[Столбец5]]="",),"",VLOOKUP(A108,Таблица9[#All],2,FALSE))</f>
        <v/>
      </c>
      <c r="G108" s="47" t="str">
        <f>IF(OR(Таблица26[[#This Row],[Столбец1]]="",Таблица26[[#This Row],[Столбец5]]=""),"",VLOOKUP(A108,'Р 5. Финансирование'!$A$9:$D$100,3,FALSE))</f>
        <v/>
      </c>
      <c r="H108" s="47" t="str">
        <f>IF(OR(Таблица26[[#This Row],[Столбец1]]="",Таблица26[[#This Row],[Столбец5]]=""),"",VLOOKUP(A108,'Р 5. Финансирование'!$A$9:$D$100,4,FALSE))</f>
        <v/>
      </c>
      <c r="I108" s="6" t="str">
        <f>IF(OR(Таблица26[[#This Row],[Столбец5]]="отсутствует",Таблица26[[#This Row],[Столбец5]]=""),"",VLOOKUP(A108,'Р 4. Показатели_индикаторы'!$A$9:$J$103,3,FALSE))</f>
        <v/>
      </c>
      <c r="J108" s="6" t="str">
        <f>IF(OR(Таблица26[[#This Row],[Столбец5]]="отсутствует",Таблица26[[#This Row],[Столбец5]]=""),"",VLOOKUP(A108,'Р 4. Показатели_индикаторы'!$A$9:$J$103,4,FALSE))</f>
        <v/>
      </c>
      <c r="K108" s="6" t="str">
        <f>IF(OR(Таблица26[[#This Row],[Столбец1]]="",Таблица26[[#This Row],[Столбец5]]="",Таблица26[[#This Row],[Столбец5]]="отсутствует"),"",VLOOKUP(A108,'Р 4. Показатели_индикаторы'!$A$9:$J$103,5,FALSE))</f>
        <v/>
      </c>
      <c r="L108" s="6" t="str">
        <f>IF(OR(Таблица26[[#This Row],[Столбец1]]="",Таблица26[[#This Row],[Столбец5]]="",Таблица26[[#This Row],[Столбец5]]="отсутствует"),"",VLOOKUP(A108,'Р 4. Показатели_индикаторы'!$A$9:$J$103,6,FALSE))</f>
        <v/>
      </c>
      <c r="M108" s="6" t="str">
        <f>IF(OR(Таблица26[[#This Row],[Столбец1]]="",Таблица26[[#This Row],[Столбец5]]="",Таблица26[[#This Row],[Столбец5]]="отсутствует"),"",VLOOKUP(A108,'Р 4. Показатели_индикаторы'!$A$9:$J$103,7,FALSE))</f>
        <v/>
      </c>
      <c r="N108" s="6" t="str">
        <f>IF(OR(Таблица26[[#This Row],[Столбец1]]="",Таблица26[[#This Row],[Столбец5]]="",Таблица26[[#This Row],[Столбец5]]="отсутствует"),"",VLOOKUP(A108,'Р 4. Показатели_индикаторы'!$A$9:$J$103,8,FALSE))</f>
        <v/>
      </c>
      <c r="O108" s="10" t="str">
        <f>IF(VLOOKUP(A108,'Р 1. "Общие сведения"'!$I$8:$L$179,4,FALSE)="","",VLOOKUP(A108,'Р 1. "Общие сведения"'!$I$8:$L$179,4,FALSE))</f>
        <v/>
      </c>
    </row>
    <row r="109" spans="1:15" x14ac:dyDescent="0.25">
      <c r="A109" s="48" t="str">
        <f>IF('Р 1. "Общие сведения"'!I109="","",'Р 1. "Общие сведения"'!I109)</f>
        <v xml:space="preserve"> </v>
      </c>
      <c r="B109" s="44" t="str">
        <f>IF('Р 1. "Общие сведения"'!J109="","",'Р 1. "Общие сведения"'!J109)</f>
        <v/>
      </c>
      <c r="C109" s="44" t="str">
        <f>IF('Р 1. "Общие сведения"'!H109="","",'Р 1. "Общие сведения"'!H109)</f>
        <v/>
      </c>
      <c r="D109" s="44" t="str">
        <f>IF('Р 1. "Общие сведения"'!D109="","",'Р 1. "Общие сведения"'!D109)</f>
        <v/>
      </c>
      <c r="E109" s="44" t="str">
        <f>IF('Р 1. "Общие сведения"'!K109="","",'Р 1. "Общие сведения"'!K109)</f>
        <v/>
      </c>
      <c r="F109" s="45" t="str">
        <f>IF(OR(Таблица26[[#This Row],[Столбец1]]="",Таблица26[[#This Row],[Столбец5]]="",),"",VLOOKUP(A109,Таблица9[#All],2,FALSE))</f>
        <v/>
      </c>
      <c r="G109" s="47" t="str">
        <f>IF(OR(Таблица26[[#This Row],[Столбец1]]="",Таблица26[[#This Row],[Столбец5]]=""),"",VLOOKUP(A109,'Р 5. Финансирование'!$A$9:$D$100,3,FALSE))</f>
        <v/>
      </c>
      <c r="H109" s="47" t="str">
        <f>IF(OR(Таблица26[[#This Row],[Столбец1]]="",Таблица26[[#This Row],[Столбец5]]=""),"",VLOOKUP(A109,'Р 5. Финансирование'!$A$9:$D$100,4,FALSE))</f>
        <v/>
      </c>
      <c r="I109" s="6" t="str">
        <f>IF(OR(Таблица26[[#This Row],[Столбец5]]="отсутствует",Таблица26[[#This Row],[Столбец5]]=""),"",VLOOKUP(A109,'Р 4. Показатели_индикаторы'!$A$9:$J$103,3,FALSE))</f>
        <v/>
      </c>
      <c r="J109" s="6" t="str">
        <f>IF(OR(Таблица26[[#This Row],[Столбец5]]="отсутствует",Таблица26[[#This Row],[Столбец5]]=""),"",VLOOKUP(A109,'Р 4. Показатели_индикаторы'!$A$9:$J$103,4,FALSE))</f>
        <v/>
      </c>
      <c r="K109" s="6" t="str">
        <f>IF(OR(Таблица26[[#This Row],[Столбец1]]="",Таблица26[[#This Row],[Столбец5]]="",Таблица26[[#This Row],[Столбец5]]="отсутствует"),"",VLOOKUP(A109,'Р 4. Показатели_индикаторы'!$A$9:$J$103,5,FALSE))</f>
        <v/>
      </c>
      <c r="L109" s="6" t="str">
        <f>IF(OR(Таблица26[[#This Row],[Столбец1]]="",Таблица26[[#This Row],[Столбец5]]="",Таблица26[[#This Row],[Столбец5]]="отсутствует"),"",VLOOKUP(A109,'Р 4. Показатели_индикаторы'!$A$9:$J$103,6,FALSE))</f>
        <v/>
      </c>
      <c r="M109" s="6" t="str">
        <f>IF(OR(Таблица26[[#This Row],[Столбец1]]="",Таблица26[[#This Row],[Столбец5]]="",Таблица26[[#This Row],[Столбец5]]="отсутствует"),"",VLOOKUP(A109,'Р 4. Показатели_индикаторы'!$A$9:$J$103,7,FALSE))</f>
        <v/>
      </c>
      <c r="N109" s="6" t="str">
        <f>IF(OR(Таблица26[[#This Row],[Столбец1]]="",Таблица26[[#This Row],[Столбец5]]="",Таблица26[[#This Row],[Столбец5]]="отсутствует"),"",VLOOKUP(A109,'Р 4. Показатели_индикаторы'!$A$9:$J$103,8,FALSE))</f>
        <v/>
      </c>
      <c r="O109" s="10" t="str">
        <f>IF(VLOOKUP(A109,'Р 1. "Общие сведения"'!$I$8:$L$179,4,FALSE)="","",VLOOKUP(A109,'Р 1. "Общие сведения"'!$I$8:$L$179,4,FALSE))</f>
        <v/>
      </c>
    </row>
    <row r="110" spans="1:15" x14ac:dyDescent="0.25">
      <c r="A110" s="48" t="str">
        <f>IF('Р 1. "Общие сведения"'!I110="","",'Р 1. "Общие сведения"'!I110)</f>
        <v xml:space="preserve"> </v>
      </c>
      <c r="B110" s="44" t="str">
        <f>IF('Р 1. "Общие сведения"'!J110="","",'Р 1. "Общие сведения"'!J110)</f>
        <v/>
      </c>
      <c r="C110" s="44" t="str">
        <f>IF('Р 1. "Общие сведения"'!H110="","",'Р 1. "Общие сведения"'!H110)</f>
        <v/>
      </c>
      <c r="D110" s="44" t="str">
        <f>IF('Р 1. "Общие сведения"'!D110="","",'Р 1. "Общие сведения"'!D110)</f>
        <v/>
      </c>
      <c r="E110" s="44" t="str">
        <f>IF('Р 1. "Общие сведения"'!K110="","",'Р 1. "Общие сведения"'!K110)</f>
        <v/>
      </c>
      <c r="F110" s="45" t="str">
        <f>IF(OR(Таблица26[[#This Row],[Столбец1]]="",Таблица26[[#This Row],[Столбец5]]="",),"",VLOOKUP(A110,Таблица9[#All],2,FALSE))</f>
        <v/>
      </c>
      <c r="G110" s="47" t="str">
        <f>IF(OR(Таблица26[[#This Row],[Столбец1]]="",Таблица26[[#This Row],[Столбец5]]=""),"",VLOOKUP(A110,'Р 5. Финансирование'!$A$9:$D$100,3,FALSE))</f>
        <v/>
      </c>
      <c r="H110" s="47" t="str">
        <f>IF(OR(Таблица26[[#This Row],[Столбец1]]="",Таблица26[[#This Row],[Столбец5]]=""),"",VLOOKUP(A110,'Р 5. Финансирование'!$A$9:$D$100,4,FALSE))</f>
        <v/>
      </c>
      <c r="I110" s="6" t="str">
        <f>IF(OR(Таблица26[[#This Row],[Столбец5]]="отсутствует",Таблица26[[#This Row],[Столбец5]]=""),"",VLOOKUP(A110,'Р 4. Показатели_индикаторы'!$A$9:$J$103,3,FALSE))</f>
        <v/>
      </c>
      <c r="J110" s="6" t="str">
        <f>IF(OR(Таблица26[[#This Row],[Столбец5]]="отсутствует",Таблица26[[#This Row],[Столбец5]]=""),"",VLOOKUP(A110,'Р 4. Показатели_индикаторы'!$A$9:$J$103,4,FALSE))</f>
        <v/>
      </c>
      <c r="K110" s="6" t="str">
        <f>IF(OR(Таблица26[[#This Row],[Столбец1]]="",Таблица26[[#This Row],[Столбец5]]="",Таблица26[[#This Row],[Столбец5]]="отсутствует"),"",VLOOKUP(A110,'Р 4. Показатели_индикаторы'!$A$9:$J$103,5,FALSE))</f>
        <v/>
      </c>
      <c r="L110" s="6" t="str">
        <f>IF(OR(Таблица26[[#This Row],[Столбец1]]="",Таблица26[[#This Row],[Столбец5]]="",Таблица26[[#This Row],[Столбец5]]="отсутствует"),"",VLOOKUP(A110,'Р 4. Показатели_индикаторы'!$A$9:$J$103,6,FALSE))</f>
        <v/>
      </c>
      <c r="M110" s="6" t="str">
        <f>IF(OR(Таблица26[[#This Row],[Столбец1]]="",Таблица26[[#This Row],[Столбец5]]="",Таблица26[[#This Row],[Столбец5]]="отсутствует"),"",VLOOKUP(A110,'Р 4. Показатели_индикаторы'!$A$9:$J$103,7,FALSE))</f>
        <v/>
      </c>
      <c r="N110" s="6" t="str">
        <f>IF(OR(Таблица26[[#This Row],[Столбец1]]="",Таблица26[[#This Row],[Столбец5]]="",Таблица26[[#This Row],[Столбец5]]="отсутствует"),"",VLOOKUP(A110,'Р 4. Показатели_индикаторы'!$A$9:$J$103,8,FALSE))</f>
        <v/>
      </c>
      <c r="O110" s="10" t="str">
        <f>IF(VLOOKUP(A110,'Р 1. "Общие сведения"'!$I$8:$L$179,4,FALSE)="","",VLOOKUP(A110,'Р 1. "Общие сведения"'!$I$8:$L$179,4,FALSE))</f>
        <v/>
      </c>
    </row>
    <row r="111" spans="1:15" x14ac:dyDescent="0.25">
      <c r="A111" s="48" t="str">
        <f>IF('Р 1. "Общие сведения"'!I111="","",'Р 1. "Общие сведения"'!I111)</f>
        <v xml:space="preserve"> </v>
      </c>
      <c r="B111" s="44" t="str">
        <f>IF('Р 1. "Общие сведения"'!J111="","",'Р 1. "Общие сведения"'!J111)</f>
        <v/>
      </c>
      <c r="C111" s="44" t="str">
        <f>IF('Р 1. "Общие сведения"'!H111="","",'Р 1. "Общие сведения"'!H111)</f>
        <v/>
      </c>
      <c r="D111" s="44" t="str">
        <f>IF('Р 1. "Общие сведения"'!D111="","",'Р 1. "Общие сведения"'!D111)</f>
        <v/>
      </c>
      <c r="E111" s="44" t="str">
        <f>IF('Р 1. "Общие сведения"'!K111="","",'Р 1. "Общие сведения"'!K111)</f>
        <v/>
      </c>
      <c r="F111" s="45" t="str">
        <f>IF(OR(Таблица26[[#This Row],[Столбец1]]="",Таблица26[[#This Row],[Столбец5]]="",),"",VLOOKUP(A111,Таблица9[#All],2,FALSE))</f>
        <v/>
      </c>
      <c r="G111" s="47" t="str">
        <f>IF(OR(Таблица26[[#This Row],[Столбец1]]="",Таблица26[[#This Row],[Столбец5]]=""),"",VLOOKUP(A111,'Р 5. Финансирование'!$A$9:$D$100,3,FALSE))</f>
        <v/>
      </c>
      <c r="H111" s="47" t="str">
        <f>IF(OR(Таблица26[[#This Row],[Столбец1]]="",Таблица26[[#This Row],[Столбец5]]=""),"",VLOOKUP(A111,'Р 5. Финансирование'!$A$9:$D$100,4,FALSE))</f>
        <v/>
      </c>
      <c r="I111" s="6" t="str">
        <f>IF(OR(Таблица26[[#This Row],[Столбец5]]="отсутствует",Таблица26[[#This Row],[Столбец5]]=""),"",VLOOKUP(A111,'Р 4. Показатели_индикаторы'!$A$9:$J$103,3,FALSE))</f>
        <v/>
      </c>
      <c r="J111" s="6" t="str">
        <f>IF(OR(Таблица26[[#This Row],[Столбец5]]="отсутствует",Таблица26[[#This Row],[Столбец5]]=""),"",VLOOKUP(A111,'Р 4. Показатели_индикаторы'!$A$9:$J$103,4,FALSE))</f>
        <v/>
      </c>
      <c r="K111" s="6" t="str">
        <f>IF(OR(Таблица26[[#This Row],[Столбец1]]="",Таблица26[[#This Row],[Столбец5]]="",Таблица26[[#This Row],[Столбец5]]="отсутствует"),"",VLOOKUP(A111,'Р 4. Показатели_индикаторы'!$A$9:$J$103,5,FALSE))</f>
        <v/>
      </c>
      <c r="L111" s="6" t="str">
        <f>IF(OR(Таблица26[[#This Row],[Столбец1]]="",Таблица26[[#This Row],[Столбец5]]="",Таблица26[[#This Row],[Столбец5]]="отсутствует"),"",VLOOKUP(A111,'Р 4. Показатели_индикаторы'!$A$9:$J$103,6,FALSE))</f>
        <v/>
      </c>
      <c r="M111" s="6" t="str">
        <f>IF(OR(Таблица26[[#This Row],[Столбец1]]="",Таблица26[[#This Row],[Столбец5]]="",Таблица26[[#This Row],[Столбец5]]="отсутствует"),"",VLOOKUP(A111,'Р 4. Показатели_индикаторы'!$A$9:$J$103,7,FALSE))</f>
        <v/>
      </c>
      <c r="N111" s="6" t="str">
        <f>IF(OR(Таблица26[[#This Row],[Столбец1]]="",Таблица26[[#This Row],[Столбец5]]="",Таблица26[[#This Row],[Столбец5]]="отсутствует"),"",VLOOKUP(A111,'Р 4. Показатели_индикаторы'!$A$9:$J$103,8,FALSE))</f>
        <v/>
      </c>
      <c r="O111" s="10" t="str">
        <f>IF(VLOOKUP(A111,'Р 1. "Общие сведения"'!$I$8:$L$179,4,FALSE)="","",VLOOKUP(A111,'Р 1. "Общие сведения"'!$I$8:$L$179,4,FALSE))</f>
        <v/>
      </c>
    </row>
    <row r="112" spans="1:15" x14ac:dyDescent="0.25">
      <c r="A112" s="48" t="str">
        <f>IF('Р 1. "Общие сведения"'!I112="","",'Р 1. "Общие сведения"'!I112)</f>
        <v xml:space="preserve"> </v>
      </c>
      <c r="B112" s="44" t="str">
        <f>IF('Р 1. "Общие сведения"'!J112="","",'Р 1. "Общие сведения"'!J112)</f>
        <v/>
      </c>
      <c r="C112" s="44" t="str">
        <f>IF('Р 1. "Общие сведения"'!H112="","",'Р 1. "Общие сведения"'!H112)</f>
        <v/>
      </c>
      <c r="D112" s="44" t="str">
        <f>IF('Р 1. "Общие сведения"'!D112="","",'Р 1. "Общие сведения"'!D112)</f>
        <v/>
      </c>
      <c r="E112" s="44" t="str">
        <f>IF('Р 1. "Общие сведения"'!K112="","",'Р 1. "Общие сведения"'!K112)</f>
        <v/>
      </c>
      <c r="F112" s="45" t="str">
        <f>IF(OR(Таблица26[[#This Row],[Столбец1]]="",Таблица26[[#This Row],[Столбец5]]="",),"",VLOOKUP(A112,Таблица9[#All],2,FALSE))</f>
        <v/>
      </c>
      <c r="G112" s="47" t="str">
        <f>IF(OR(Таблица26[[#This Row],[Столбец1]]="",Таблица26[[#This Row],[Столбец5]]=""),"",VLOOKUP(A112,'Р 5. Финансирование'!$A$9:$D$100,3,FALSE))</f>
        <v/>
      </c>
      <c r="H112" s="47" t="str">
        <f>IF(OR(Таблица26[[#This Row],[Столбец1]]="",Таблица26[[#This Row],[Столбец5]]=""),"",VLOOKUP(A112,'Р 5. Финансирование'!$A$9:$D$100,4,FALSE))</f>
        <v/>
      </c>
      <c r="I112" s="6" t="str">
        <f>IF(OR(Таблица26[[#This Row],[Столбец5]]="отсутствует",Таблица26[[#This Row],[Столбец5]]=""),"",VLOOKUP(A112,'Р 4. Показатели_индикаторы'!$A$9:$J$103,3,FALSE))</f>
        <v/>
      </c>
      <c r="J112" s="6" t="str">
        <f>IF(OR(Таблица26[[#This Row],[Столбец5]]="отсутствует",Таблица26[[#This Row],[Столбец5]]=""),"",VLOOKUP(A112,'Р 4. Показатели_индикаторы'!$A$9:$J$103,4,FALSE))</f>
        <v/>
      </c>
      <c r="K112" s="6" t="str">
        <f>IF(OR(Таблица26[[#This Row],[Столбец1]]="",Таблица26[[#This Row],[Столбец5]]="",Таблица26[[#This Row],[Столбец5]]="отсутствует"),"",VLOOKUP(A112,'Р 4. Показатели_индикаторы'!$A$9:$J$103,5,FALSE))</f>
        <v/>
      </c>
      <c r="L112" s="6" t="str">
        <f>IF(OR(Таблица26[[#This Row],[Столбец1]]="",Таблица26[[#This Row],[Столбец5]]="",Таблица26[[#This Row],[Столбец5]]="отсутствует"),"",VLOOKUP(A112,'Р 4. Показатели_индикаторы'!$A$9:$J$103,6,FALSE))</f>
        <v/>
      </c>
      <c r="M112" s="6" t="str">
        <f>IF(OR(Таблица26[[#This Row],[Столбец1]]="",Таблица26[[#This Row],[Столбец5]]="",Таблица26[[#This Row],[Столбец5]]="отсутствует"),"",VLOOKUP(A112,'Р 4. Показатели_индикаторы'!$A$9:$J$103,7,FALSE))</f>
        <v/>
      </c>
      <c r="N112" s="6" t="str">
        <f>IF(OR(Таблица26[[#This Row],[Столбец1]]="",Таблица26[[#This Row],[Столбец5]]="",Таблица26[[#This Row],[Столбец5]]="отсутствует"),"",VLOOKUP(A112,'Р 4. Показатели_индикаторы'!$A$9:$J$103,8,FALSE))</f>
        <v/>
      </c>
      <c r="O112" s="10" t="str">
        <f>IF(VLOOKUP(A112,'Р 1. "Общие сведения"'!$I$8:$L$179,4,FALSE)="","",VLOOKUP(A112,'Р 1. "Общие сведения"'!$I$8:$L$179,4,FALSE))</f>
        <v/>
      </c>
    </row>
    <row r="113" spans="1:15" x14ac:dyDescent="0.25">
      <c r="A113" s="48" t="str">
        <f>IF('Р 1. "Общие сведения"'!I113="","",'Р 1. "Общие сведения"'!I113)</f>
        <v xml:space="preserve"> </v>
      </c>
      <c r="B113" s="44" t="str">
        <f>IF('Р 1. "Общие сведения"'!J113="","",'Р 1. "Общие сведения"'!J113)</f>
        <v/>
      </c>
      <c r="C113" s="44" t="str">
        <f>IF('Р 1. "Общие сведения"'!H113="","",'Р 1. "Общие сведения"'!H113)</f>
        <v/>
      </c>
      <c r="D113" s="44" t="str">
        <f>IF('Р 1. "Общие сведения"'!D113="","",'Р 1. "Общие сведения"'!D113)</f>
        <v/>
      </c>
      <c r="E113" s="44" t="str">
        <f>IF('Р 1. "Общие сведения"'!K113="","",'Р 1. "Общие сведения"'!K113)</f>
        <v/>
      </c>
      <c r="F113" s="45" t="str">
        <f>IF(OR(Таблица26[[#This Row],[Столбец1]]="",Таблица26[[#This Row],[Столбец5]]="",),"",VLOOKUP(A113,Таблица9[#All],2,FALSE))</f>
        <v/>
      </c>
      <c r="G113" s="47" t="str">
        <f>IF(OR(Таблица26[[#This Row],[Столбец1]]="",Таблица26[[#This Row],[Столбец5]]=""),"",VLOOKUP(A113,'Р 5. Финансирование'!$A$9:$D$100,3,FALSE))</f>
        <v/>
      </c>
      <c r="H113" s="47" t="str">
        <f>IF(OR(Таблица26[[#This Row],[Столбец1]]="",Таблица26[[#This Row],[Столбец5]]=""),"",VLOOKUP(A113,'Р 5. Финансирование'!$A$9:$D$100,4,FALSE))</f>
        <v/>
      </c>
      <c r="I113" s="6" t="str">
        <f>IF(OR(Таблица26[[#This Row],[Столбец5]]="отсутствует",Таблица26[[#This Row],[Столбец5]]=""),"",VLOOKUP(A113,'Р 4. Показатели_индикаторы'!$A$9:$J$103,3,FALSE))</f>
        <v/>
      </c>
      <c r="J113" s="6" t="str">
        <f>IF(OR(Таблица26[[#This Row],[Столбец5]]="отсутствует",Таблица26[[#This Row],[Столбец5]]=""),"",VLOOKUP(A113,'Р 4. Показатели_индикаторы'!$A$9:$J$103,4,FALSE))</f>
        <v/>
      </c>
      <c r="K113" s="6" t="str">
        <f>IF(OR(Таблица26[[#This Row],[Столбец1]]="",Таблица26[[#This Row],[Столбец5]]="",Таблица26[[#This Row],[Столбец5]]="отсутствует"),"",VLOOKUP(A113,'Р 4. Показатели_индикаторы'!$A$9:$J$103,5,FALSE))</f>
        <v/>
      </c>
      <c r="L113" s="6" t="str">
        <f>IF(OR(Таблица26[[#This Row],[Столбец1]]="",Таблица26[[#This Row],[Столбец5]]="",Таблица26[[#This Row],[Столбец5]]="отсутствует"),"",VLOOKUP(A113,'Р 4. Показатели_индикаторы'!$A$9:$J$103,6,FALSE))</f>
        <v/>
      </c>
      <c r="M113" s="6" t="str">
        <f>IF(OR(Таблица26[[#This Row],[Столбец1]]="",Таблица26[[#This Row],[Столбец5]]="",Таблица26[[#This Row],[Столбец5]]="отсутствует"),"",VLOOKUP(A113,'Р 4. Показатели_индикаторы'!$A$9:$J$103,7,FALSE))</f>
        <v/>
      </c>
      <c r="N113" s="6" t="str">
        <f>IF(OR(Таблица26[[#This Row],[Столбец1]]="",Таблица26[[#This Row],[Столбец5]]="",Таблица26[[#This Row],[Столбец5]]="отсутствует"),"",VLOOKUP(A113,'Р 4. Показатели_индикаторы'!$A$9:$J$103,8,FALSE))</f>
        <v/>
      </c>
      <c r="O113" s="10" t="str">
        <f>IF(VLOOKUP(A113,'Р 1. "Общие сведения"'!$I$8:$L$179,4,FALSE)="","",VLOOKUP(A113,'Р 1. "Общие сведения"'!$I$8:$L$179,4,FALSE))</f>
        <v/>
      </c>
    </row>
    <row r="114" spans="1:15" x14ac:dyDescent="0.25">
      <c r="A114" s="48" t="str">
        <f>IF('Р 1. "Общие сведения"'!I114="","",'Р 1. "Общие сведения"'!I114)</f>
        <v xml:space="preserve"> </v>
      </c>
      <c r="B114" s="44" t="str">
        <f>IF('Р 1. "Общие сведения"'!J114="","",'Р 1. "Общие сведения"'!J114)</f>
        <v/>
      </c>
      <c r="C114" s="44" t="str">
        <f>IF('Р 1. "Общие сведения"'!H114="","",'Р 1. "Общие сведения"'!H114)</f>
        <v/>
      </c>
      <c r="D114" s="44" t="str">
        <f>IF('Р 1. "Общие сведения"'!D114="","",'Р 1. "Общие сведения"'!D114)</f>
        <v/>
      </c>
      <c r="E114" s="44" t="str">
        <f>IF('Р 1. "Общие сведения"'!K114="","",'Р 1. "Общие сведения"'!K114)</f>
        <v/>
      </c>
      <c r="F114" s="45" t="str">
        <f>IF(OR(Таблица26[[#This Row],[Столбец1]]="",Таблица26[[#This Row],[Столбец5]]="",),"",VLOOKUP(A114,Таблица9[#All],2,FALSE))</f>
        <v/>
      </c>
      <c r="G114" s="47" t="str">
        <f>IF(OR(Таблица26[[#This Row],[Столбец1]]="",Таблица26[[#This Row],[Столбец5]]=""),"",VLOOKUP(A114,'Р 5. Финансирование'!$A$9:$D$100,3,FALSE))</f>
        <v/>
      </c>
      <c r="H114" s="47" t="str">
        <f>IF(OR(Таблица26[[#This Row],[Столбец1]]="",Таблица26[[#This Row],[Столбец5]]=""),"",VLOOKUP(A114,'Р 5. Финансирование'!$A$9:$D$100,4,FALSE))</f>
        <v/>
      </c>
      <c r="I114" s="6" t="str">
        <f>IF(OR(Таблица26[[#This Row],[Столбец5]]="отсутствует",Таблица26[[#This Row],[Столбец5]]=""),"",VLOOKUP(A114,'Р 4. Показатели_индикаторы'!$A$9:$J$103,3,FALSE))</f>
        <v/>
      </c>
      <c r="J114" s="6" t="str">
        <f>IF(OR(Таблица26[[#This Row],[Столбец5]]="отсутствует",Таблица26[[#This Row],[Столбец5]]=""),"",VLOOKUP(A114,'Р 4. Показатели_индикаторы'!$A$9:$J$103,4,FALSE))</f>
        <v/>
      </c>
      <c r="K114" s="6" t="str">
        <f>IF(OR(Таблица26[[#This Row],[Столбец1]]="",Таблица26[[#This Row],[Столбец5]]="",Таблица26[[#This Row],[Столбец5]]="отсутствует"),"",VLOOKUP(A114,'Р 4. Показатели_индикаторы'!$A$9:$J$103,5,FALSE))</f>
        <v/>
      </c>
      <c r="L114" s="6" t="str">
        <f>IF(OR(Таблица26[[#This Row],[Столбец1]]="",Таблица26[[#This Row],[Столбец5]]="",Таблица26[[#This Row],[Столбец5]]="отсутствует"),"",VLOOKUP(A114,'Р 4. Показатели_индикаторы'!$A$9:$J$103,6,FALSE))</f>
        <v/>
      </c>
      <c r="M114" s="6" t="str">
        <f>IF(OR(Таблица26[[#This Row],[Столбец1]]="",Таблица26[[#This Row],[Столбец5]]="",Таблица26[[#This Row],[Столбец5]]="отсутствует"),"",VLOOKUP(A114,'Р 4. Показатели_индикаторы'!$A$9:$J$103,7,FALSE))</f>
        <v/>
      </c>
      <c r="N114" s="6" t="str">
        <f>IF(OR(Таблица26[[#This Row],[Столбец1]]="",Таблица26[[#This Row],[Столбец5]]="",Таблица26[[#This Row],[Столбец5]]="отсутствует"),"",VLOOKUP(A114,'Р 4. Показатели_индикаторы'!$A$9:$J$103,8,FALSE))</f>
        <v/>
      </c>
      <c r="O114" s="10" t="str">
        <f>IF(VLOOKUP(A114,'Р 1. "Общие сведения"'!$I$8:$L$179,4,FALSE)="","",VLOOKUP(A114,'Р 1. "Общие сведения"'!$I$8:$L$179,4,FALSE))</f>
        <v/>
      </c>
    </row>
    <row r="115" spans="1:15" x14ac:dyDescent="0.25">
      <c r="A115" s="48" t="str">
        <f>IF('Р 1. "Общие сведения"'!I115="","",'Р 1. "Общие сведения"'!I115)</f>
        <v xml:space="preserve"> </v>
      </c>
      <c r="B115" s="44" t="str">
        <f>IF('Р 1. "Общие сведения"'!J115="","",'Р 1. "Общие сведения"'!J115)</f>
        <v/>
      </c>
      <c r="C115" s="44" t="str">
        <f>IF('Р 1. "Общие сведения"'!H115="","",'Р 1. "Общие сведения"'!H115)</f>
        <v/>
      </c>
      <c r="D115" s="44" t="str">
        <f>IF('Р 1. "Общие сведения"'!D115="","",'Р 1. "Общие сведения"'!D115)</f>
        <v/>
      </c>
      <c r="E115" s="44" t="str">
        <f>IF('Р 1. "Общие сведения"'!K115="","",'Р 1. "Общие сведения"'!K115)</f>
        <v/>
      </c>
      <c r="F115" s="45" t="str">
        <f>IF(OR(Таблица26[[#This Row],[Столбец1]]="",Таблица26[[#This Row],[Столбец5]]="",),"",VLOOKUP(A115,Таблица9[#All],2,FALSE))</f>
        <v/>
      </c>
      <c r="G115" s="47" t="str">
        <f>IF(OR(Таблица26[[#This Row],[Столбец1]]="",Таблица26[[#This Row],[Столбец5]]=""),"",VLOOKUP(A115,'Р 5. Финансирование'!$A$9:$D$100,3,FALSE))</f>
        <v/>
      </c>
      <c r="H115" s="47" t="str">
        <f>IF(OR(Таблица26[[#This Row],[Столбец1]]="",Таблица26[[#This Row],[Столбец5]]=""),"",VLOOKUP(A115,'Р 5. Финансирование'!$A$9:$D$100,4,FALSE))</f>
        <v/>
      </c>
      <c r="I115" s="6" t="str">
        <f>IF(OR(Таблица26[[#This Row],[Столбец5]]="отсутствует",Таблица26[[#This Row],[Столбец5]]=""),"",VLOOKUP(A115,'Р 4. Показатели_индикаторы'!$A$9:$J$103,3,FALSE))</f>
        <v/>
      </c>
      <c r="J115" s="6" t="str">
        <f>IF(OR(Таблица26[[#This Row],[Столбец5]]="отсутствует",Таблица26[[#This Row],[Столбец5]]=""),"",VLOOKUP(A115,'Р 4. Показатели_индикаторы'!$A$9:$J$103,4,FALSE))</f>
        <v/>
      </c>
      <c r="K115" s="6" t="str">
        <f>IF(OR(Таблица26[[#This Row],[Столбец1]]="",Таблица26[[#This Row],[Столбец5]]="",Таблица26[[#This Row],[Столбец5]]="отсутствует"),"",VLOOKUP(A115,'Р 4. Показатели_индикаторы'!$A$9:$J$103,5,FALSE))</f>
        <v/>
      </c>
      <c r="L115" s="6" t="str">
        <f>IF(OR(Таблица26[[#This Row],[Столбец1]]="",Таблица26[[#This Row],[Столбец5]]="",Таблица26[[#This Row],[Столбец5]]="отсутствует"),"",VLOOKUP(A115,'Р 4. Показатели_индикаторы'!$A$9:$J$103,6,FALSE))</f>
        <v/>
      </c>
      <c r="M115" s="6" t="str">
        <f>IF(OR(Таблица26[[#This Row],[Столбец1]]="",Таблица26[[#This Row],[Столбец5]]="",Таблица26[[#This Row],[Столбец5]]="отсутствует"),"",VLOOKUP(A115,'Р 4. Показатели_индикаторы'!$A$9:$J$103,7,FALSE))</f>
        <v/>
      </c>
      <c r="N115" s="6" t="str">
        <f>IF(OR(Таблица26[[#This Row],[Столбец1]]="",Таблица26[[#This Row],[Столбец5]]="",Таблица26[[#This Row],[Столбец5]]="отсутствует"),"",VLOOKUP(A115,'Р 4. Показатели_индикаторы'!$A$9:$J$103,8,FALSE))</f>
        <v/>
      </c>
      <c r="O115" s="10" t="str">
        <f>IF(VLOOKUP(A115,'Р 1. "Общие сведения"'!$I$8:$L$179,4,FALSE)="","",VLOOKUP(A115,'Р 1. "Общие сведения"'!$I$8:$L$179,4,FALSE))</f>
        <v/>
      </c>
    </row>
    <row r="116" spans="1:15" x14ac:dyDescent="0.25">
      <c r="A116" s="48" t="str">
        <f>IF('Р 1. "Общие сведения"'!I116="","",'Р 1. "Общие сведения"'!I116)</f>
        <v xml:space="preserve"> </v>
      </c>
      <c r="B116" s="44" t="str">
        <f>IF('Р 1. "Общие сведения"'!J116="","",'Р 1. "Общие сведения"'!J116)</f>
        <v/>
      </c>
      <c r="C116" s="44" t="str">
        <f>IF('Р 1. "Общие сведения"'!H116="","",'Р 1. "Общие сведения"'!H116)</f>
        <v/>
      </c>
      <c r="D116" s="44" t="str">
        <f>IF('Р 1. "Общие сведения"'!D116="","",'Р 1. "Общие сведения"'!D116)</f>
        <v/>
      </c>
      <c r="E116" s="44" t="str">
        <f>IF('Р 1. "Общие сведения"'!K116="","",'Р 1. "Общие сведения"'!K116)</f>
        <v/>
      </c>
      <c r="F116" s="45" t="str">
        <f>IF(OR(Таблица26[[#This Row],[Столбец1]]="",Таблица26[[#This Row],[Столбец5]]="",),"",VLOOKUP(A116,Таблица9[#All],2,FALSE))</f>
        <v/>
      </c>
      <c r="G116" s="47" t="str">
        <f>IF(OR(Таблица26[[#This Row],[Столбец1]]="",Таблица26[[#This Row],[Столбец5]]=""),"",VLOOKUP(A116,'Р 5. Финансирование'!$A$9:$D$100,3,FALSE))</f>
        <v/>
      </c>
      <c r="H116" s="47" t="str">
        <f>IF(OR(Таблица26[[#This Row],[Столбец1]]="",Таблица26[[#This Row],[Столбец5]]=""),"",VLOOKUP(A116,'Р 5. Финансирование'!$A$9:$D$100,4,FALSE))</f>
        <v/>
      </c>
      <c r="I116" s="6" t="str">
        <f>IF(OR(Таблица26[[#This Row],[Столбец5]]="отсутствует",Таблица26[[#This Row],[Столбец5]]=""),"",VLOOKUP(A116,'Р 4. Показатели_индикаторы'!$A$9:$J$103,3,FALSE))</f>
        <v/>
      </c>
      <c r="J116" s="6" t="str">
        <f>IF(OR(Таблица26[[#This Row],[Столбец5]]="отсутствует",Таблица26[[#This Row],[Столбец5]]=""),"",VLOOKUP(A116,'Р 4. Показатели_индикаторы'!$A$9:$J$103,4,FALSE))</f>
        <v/>
      </c>
      <c r="K116" s="6" t="str">
        <f>IF(OR(Таблица26[[#This Row],[Столбец1]]="",Таблица26[[#This Row],[Столбец5]]="",Таблица26[[#This Row],[Столбец5]]="отсутствует"),"",VLOOKUP(A116,'Р 4. Показатели_индикаторы'!$A$9:$J$103,5,FALSE))</f>
        <v/>
      </c>
      <c r="L116" s="6" t="str">
        <f>IF(OR(Таблица26[[#This Row],[Столбец1]]="",Таблица26[[#This Row],[Столбец5]]="",Таблица26[[#This Row],[Столбец5]]="отсутствует"),"",VLOOKUP(A116,'Р 4. Показатели_индикаторы'!$A$9:$J$103,6,FALSE))</f>
        <v/>
      </c>
      <c r="M116" s="6" t="str">
        <f>IF(OR(Таблица26[[#This Row],[Столбец1]]="",Таблица26[[#This Row],[Столбец5]]="",Таблица26[[#This Row],[Столбец5]]="отсутствует"),"",VLOOKUP(A116,'Р 4. Показатели_индикаторы'!$A$9:$J$103,7,FALSE))</f>
        <v/>
      </c>
      <c r="N116" s="6" t="str">
        <f>IF(OR(Таблица26[[#This Row],[Столбец1]]="",Таблица26[[#This Row],[Столбец5]]="",Таблица26[[#This Row],[Столбец5]]="отсутствует"),"",VLOOKUP(A116,'Р 4. Показатели_индикаторы'!$A$9:$J$103,8,FALSE))</f>
        <v/>
      </c>
      <c r="O116" s="10" t="str">
        <f>IF(VLOOKUP(A116,'Р 1. "Общие сведения"'!$I$8:$L$179,4,FALSE)="","",VLOOKUP(A116,'Р 1. "Общие сведения"'!$I$8:$L$179,4,FALSE))</f>
        <v/>
      </c>
    </row>
    <row r="117" spans="1:15" x14ac:dyDescent="0.25">
      <c r="A117" s="48" t="str">
        <f>IF('Р 1. "Общие сведения"'!I117="","",'Р 1. "Общие сведения"'!I117)</f>
        <v xml:space="preserve"> </v>
      </c>
      <c r="B117" s="44" t="str">
        <f>IF('Р 1. "Общие сведения"'!J117="","",'Р 1. "Общие сведения"'!J117)</f>
        <v/>
      </c>
      <c r="C117" s="44" t="str">
        <f>IF('Р 1. "Общие сведения"'!H117="","",'Р 1. "Общие сведения"'!H117)</f>
        <v/>
      </c>
      <c r="D117" s="44" t="str">
        <f>IF('Р 1. "Общие сведения"'!D117="","",'Р 1. "Общие сведения"'!D117)</f>
        <v/>
      </c>
      <c r="E117" s="44" t="str">
        <f>IF('Р 1. "Общие сведения"'!K117="","",'Р 1. "Общие сведения"'!K117)</f>
        <v/>
      </c>
      <c r="F117" s="45" t="str">
        <f>IF(OR(Таблица26[[#This Row],[Столбец1]]="",Таблица26[[#This Row],[Столбец5]]="",),"",VLOOKUP(A117,Таблица9[#All],2,FALSE))</f>
        <v/>
      </c>
      <c r="G117" s="47" t="str">
        <f>IF(OR(Таблица26[[#This Row],[Столбец1]]="",Таблица26[[#This Row],[Столбец5]]=""),"",VLOOKUP(A117,'Р 5. Финансирование'!$A$9:$D$100,3,FALSE))</f>
        <v/>
      </c>
      <c r="H117" s="47" t="str">
        <f>IF(OR(Таблица26[[#This Row],[Столбец1]]="",Таблица26[[#This Row],[Столбец5]]=""),"",VLOOKUP(A117,'Р 5. Финансирование'!$A$9:$D$100,4,FALSE))</f>
        <v/>
      </c>
      <c r="I117" s="6" t="str">
        <f>IF(OR(Таблица26[[#This Row],[Столбец5]]="отсутствует",Таблица26[[#This Row],[Столбец5]]=""),"",VLOOKUP(A117,'Р 4. Показатели_индикаторы'!$A$9:$J$103,3,FALSE))</f>
        <v/>
      </c>
      <c r="J117" s="6" t="str">
        <f>IF(OR(Таблица26[[#This Row],[Столбец5]]="отсутствует",Таблица26[[#This Row],[Столбец5]]=""),"",VLOOKUP(A117,'Р 4. Показатели_индикаторы'!$A$9:$J$103,4,FALSE))</f>
        <v/>
      </c>
      <c r="K117" s="6" t="str">
        <f>IF(OR(Таблица26[[#This Row],[Столбец1]]="",Таблица26[[#This Row],[Столбец5]]="",Таблица26[[#This Row],[Столбец5]]="отсутствует"),"",VLOOKUP(A117,'Р 4. Показатели_индикаторы'!$A$9:$J$103,5,FALSE))</f>
        <v/>
      </c>
      <c r="L117" s="6" t="str">
        <f>IF(OR(Таблица26[[#This Row],[Столбец1]]="",Таблица26[[#This Row],[Столбец5]]="",Таблица26[[#This Row],[Столбец5]]="отсутствует"),"",VLOOKUP(A117,'Р 4. Показатели_индикаторы'!$A$9:$J$103,6,FALSE))</f>
        <v/>
      </c>
      <c r="M117" s="6" t="str">
        <f>IF(OR(Таблица26[[#This Row],[Столбец1]]="",Таблица26[[#This Row],[Столбец5]]="",Таблица26[[#This Row],[Столбец5]]="отсутствует"),"",VLOOKUP(A117,'Р 4. Показатели_индикаторы'!$A$9:$J$103,7,FALSE))</f>
        <v/>
      </c>
      <c r="N117" s="6" t="str">
        <f>IF(OR(Таблица26[[#This Row],[Столбец1]]="",Таблица26[[#This Row],[Столбец5]]="",Таблица26[[#This Row],[Столбец5]]="отсутствует"),"",VLOOKUP(A117,'Р 4. Показатели_индикаторы'!$A$9:$J$103,8,FALSE))</f>
        <v/>
      </c>
      <c r="O117" s="10" t="str">
        <f>IF(VLOOKUP(A117,'Р 1. "Общие сведения"'!$I$8:$L$179,4,FALSE)="","",VLOOKUP(A117,'Р 1. "Общие сведения"'!$I$8:$L$179,4,FALSE))</f>
        <v/>
      </c>
    </row>
    <row r="118" spans="1:15" x14ac:dyDescent="0.25">
      <c r="A118" s="48" t="str">
        <f>IF('Р 1. "Общие сведения"'!I118="","",'Р 1. "Общие сведения"'!I118)</f>
        <v xml:space="preserve"> </v>
      </c>
      <c r="B118" s="44" t="str">
        <f>IF('Р 1. "Общие сведения"'!J118="","",'Р 1. "Общие сведения"'!J118)</f>
        <v/>
      </c>
      <c r="C118" s="44" t="str">
        <f>IF('Р 1. "Общие сведения"'!H118="","",'Р 1. "Общие сведения"'!H118)</f>
        <v/>
      </c>
      <c r="D118" s="44" t="str">
        <f>IF('Р 1. "Общие сведения"'!D118="","",'Р 1. "Общие сведения"'!D118)</f>
        <v/>
      </c>
      <c r="E118" s="44" t="str">
        <f>IF('Р 1. "Общие сведения"'!K118="","",'Р 1. "Общие сведения"'!K118)</f>
        <v/>
      </c>
      <c r="F118" s="45" t="str">
        <f>IF(OR(Таблица26[[#This Row],[Столбец1]]="",Таблица26[[#This Row],[Столбец5]]="",),"",VLOOKUP(A118,Таблица9[#All],2,FALSE))</f>
        <v/>
      </c>
      <c r="G118" s="47" t="str">
        <f>IF(OR(Таблица26[[#This Row],[Столбец1]]="",Таблица26[[#This Row],[Столбец5]]=""),"",VLOOKUP(A118,'Р 5. Финансирование'!$A$9:$D$100,3,FALSE))</f>
        <v/>
      </c>
      <c r="H118" s="47" t="str">
        <f>IF(OR(Таблица26[[#This Row],[Столбец1]]="",Таблица26[[#This Row],[Столбец5]]=""),"",VLOOKUP(A118,'Р 5. Финансирование'!$A$9:$D$100,4,FALSE))</f>
        <v/>
      </c>
      <c r="I118" s="6" t="str">
        <f>IF(OR(Таблица26[[#This Row],[Столбец5]]="отсутствует",Таблица26[[#This Row],[Столбец5]]=""),"",VLOOKUP(A118,'Р 4. Показатели_индикаторы'!$A$9:$J$103,3,FALSE))</f>
        <v/>
      </c>
      <c r="J118" s="6" t="str">
        <f>IF(OR(Таблица26[[#This Row],[Столбец5]]="отсутствует",Таблица26[[#This Row],[Столбец5]]=""),"",VLOOKUP(A118,'Р 4. Показатели_индикаторы'!$A$9:$J$103,4,FALSE))</f>
        <v/>
      </c>
      <c r="K118" s="6" t="str">
        <f>IF(OR(Таблица26[[#This Row],[Столбец1]]="",Таблица26[[#This Row],[Столбец5]]="",Таблица26[[#This Row],[Столбец5]]="отсутствует"),"",VLOOKUP(A118,'Р 4. Показатели_индикаторы'!$A$9:$J$103,5,FALSE))</f>
        <v/>
      </c>
      <c r="L118" s="6" t="str">
        <f>IF(OR(Таблица26[[#This Row],[Столбец1]]="",Таблица26[[#This Row],[Столбец5]]="",Таблица26[[#This Row],[Столбец5]]="отсутствует"),"",VLOOKUP(A118,'Р 4. Показатели_индикаторы'!$A$9:$J$103,6,FALSE))</f>
        <v/>
      </c>
      <c r="M118" s="6" t="str">
        <f>IF(OR(Таблица26[[#This Row],[Столбец1]]="",Таблица26[[#This Row],[Столбец5]]="",Таблица26[[#This Row],[Столбец5]]="отсутствует"),"",VLOOKUP(A118,'Р 4. Показатели_индикаторы'!$A$9:$J$103,7,FALSE))</f>
        <v/>
      </c>
      <c r="N118" s="6" t="str">
        <f>IF(OR(Таблица26[[#This Row],[Столбец1]]="",Таблица26[[#This Row],[Столбец5]]="",Таблица26[[#This Row],[Столбец5]]="отсутствует"),"",VLOOKUP(A118,'Р 4. Показатели_индикаторы'!$A$9:$J$103,8,FALSE))</f>
        <v/>
      </c>
      <c r="O118" s="10" t="str">
        <f>IF(VLOOKUP(A118,'Р 1. "Общие сведения"'!$I$8:$L$179,4,FALSE)="","",VLOOKUP(A118,'Р 1. "Общие сведения"'!$I$8:$L$179,4,FALSE))</f>
        <v/>
      </c>
    </row>
    <row r="119" spans="1:15" x14ac:dyDescent="0.25">
      <c r="A119" s="48" t="str">
        <f>IF('Р 1. "Общие сведения"'!I119="","",'Р 1. "Общие сведения"'!I119)</f>
        <v xml:space="preserve"> </v>
      </c>
      <c r="B119" s="44" t="str">
        <f>IF('Р 1. "Общие сведения"'!J119="","",'Р 1. "Общие сведения"'!J119)</f>
        <v/>
      </c>
      <c r="C119" s="44" t="str">
        <f>IF('Р 1. "Общие сведения"'!H119="","",'Р 1. "Общие сведения"'!H119)</f>
        <v/>
      </c>
      <c r="D119" s="44" t="str">
        <f>IF('Р 1. "Общие сведения"'!D119="","",'Р 1. "Общие сведения"'!D119)</f>
        <v/>
      </c>
      <c r="E119" s="44" t="str">
        <f>IF('Р 1. "Общие сведения"'!K119="","",'Р 1. "Общие сведения"'!K119)</f>
        <v/>
      </c>
      <c r="F119" s="45" t="str">
        <f>IF(OR(Таблица26[[#This Row],[Столбец1]]="",Таблица26[[#This Row],[Столбец5]]="",),"",VLOOKUP(A119,Таблица9[#All],2,FALSE))</f>
        <v/>
      </c>
      <c r="G119" s="47" t="str">
        <f>IF(OR(Таблица26[[#This Row],[Столбец1]]="",Таблица26[[#This Row],[Столбец5]]=""),"",VLOOKUP(A119,'Р 5. Финансирование'!$A$9:$D$100,3,FALSE))</f>
        <v/>
      </c>
      <c r="H119" s="47" t="str">
        <f>IF(OR(Таблица26[[#This Row],[Столбец1]]="",Таблица26[[#This Row],[Столбец5]]=""),"",VLOOKUP(A119,'Р 5. Финансирование'!$A$9:$D$100,4,FALSE))</f>
        <v/>
      </c>
      <c r="I119" s="6" t="str">
        <f>IF(OR(Таблица26[[#This Row],[Столбец5]]="отсутствует",Таблица26[[#This Row],[Столбец5]]=""),"",VLOOKUP(A119,'Р 4. Показатели_индикаторы'!$A$9:$J$103,3,FALSE))</f>
        <v/>
      </c>
      <c r="J119" s="6" t="str">
        <f>IF(OR(Таблица26[[#This Row],[Столбец5]]="отсутствует",Таблица26[[#This Row],[Столбец5]]=""),"",VLOOKUP(A119,'Р 4. Показатели_индикаторы'!$A$9:$J$103,4,FALSE))</f>
        <v/>
      </c>
      <c r="K119" s="6" t="str">
        <f>IF(OR(Таблица26[[#This Row],[Столбец1]]="",Таблица26[[#This Row],[Столбец5]]="",Таблица26[[#This Row],[Столбец5]]="отсутствует"),"",VLOOKUP(A119,'Р 4. Показатели_индикаторы'!$A$9:$J$103,5,FALSE))</f>
        <v/>
      </c>
      <c r="L119" s="6" t="str">
        <f>IF(OR(Таблица26[[#This Row],[Столбец1]]="",Таблица26[[#This Row],[Столбец5]]="",Таблица26[[#This Row],[Столбец5]]="отсутствует"),"",VLOOKUP(A119,'Р 4. Показатели_индикаторы'!$A$9:$J$103,6,FALSE))</f>
        <v/>
      </c>
      <c r="M119" s="6" t="str">
        <f>IF(OR(Таблица26[[#This Row],[Столбец1]]="",Таблица26[[#This Row],[Столбец5]]="",Таблица26[[#This Row],[Столбец5]]="отсутствует"),"",VLOOKUP(A119,'Р 4. Показатели_индикаторы'!$A$9:$J$103,7,FALSE))</f>
        <v/>
      </c>
      <c r="N119" s="6" t="str">
        <f>IF(OR(Таблица26[[#This Row],[Столбец1]]="",Таблица26[[#This Row],[Столбец5]]="",Таблица26[[#This Row],[Столбец5]]="отсутствует"),"",VLOOKUP(A119,'Р 4. Показатели_индикаторы'!$A$9:$J$103,8,FALSE))</f>
        <v/>
      </c>
      <c r="O119" s="10" t="str">
        <f>IF(VLOOKUP(A119,'Р 1. "Общие сведения"'!$I$8:$L$179,4,FALSE)="","",VLOOKUP(A119,'Р 1. "Общие сведения"'!$I$8:$L$179,4,FALSE))</f>
        <v/>
      </c>
    </row>
    <row r="120" spans="1:15" x14ac:dyDescent="0.25">
      <c r="A120" s="48" t="str">
        <f>IF('Р 1. "Общие сведения"'!I120="","",'Р 1. "Общие сведения"'!I120)</f>
        <v xml:space="preserve"> </v>
      </c>
      <c r="B120" s="44" t="str">
        <f>IF('Р 1. "Общие сведения"'!J120="","",'Р 1. "Общие сведения"'!J120)</f>
        <v/>
      </c>
      <c r="C120" s="44" t="str">
        <f>IF('Р 1. "Общие сведения"'!H120="","",'Р 1. "Общие сведения"'!H120)</f>
        <v/>
      </c>
      <c r="D120" s="44" t="str">
        <f>IF('Р 1. "Общие сведения"'!D120="","",'Р 1. "Общие сведения"'!D120)</f>
        <v/>
      </c>
      <c r="E120" s="44" t="str">
        <f>IF('Р 1. "Общие сведения"'!K120="","",'Р 1. "Общие сведения"'!K120)</f>
        <v/>
      </c>
      <c r="F120" s="45" t="str">
        <f>IF(OR(Таблица26[[#This Row],[Столбец1]]="",Таблица26[[#This Row],[Столбец5]]="",),"",VLOOKUP(A120,Таблица9[#All],2,FALSE))</f>
        <v/>
      </c>
      <c r="G120" s="47" t="str">
        <f>IF(OR(Таблица26[[#This Row],[Столбец1]]="",Таблица26[[#This Row],[Столбец5]]=""),"",VLOOKUP(A120,'Р 5. Финансирование'!$A$9:$D$100,3,FALSE))</f>
        <v/>
      </c>
      <c r="H120" s="47" t="str">
        <f>IF(OR(Таблица26[[#This Row],[Столбец1]]="",Таблица26[[#This Row],[Столбец5]]=""),"",VLOOKUP(A120,'Р 5. Финансирование'!$A$9:$D$100,4,FALSE))</f>
        <v/>
      </c>
      <c r="I120" s="6" t="str">
        <f>IF(OR(Таблица26[[#This Row],[Столбец5]]="отсутствует",Таблица26[[#This Row],[Столбец5]]=""),"",VLOOKUP(A120,'Р 4. Показатели_индикаторы'!$A$9:$J$103,3,FALSE))</f>
        <v/>
      </c>
      <c r="J120" s="6" t="str">
        <f>IF(OR(Таблица26[[#This Row],[Столбец5]]="отсутствует",Таблица26[[#This Row],[Столбец5]]=""),"",VLOOKUP(A120,'Р 4. Показатели_индикаторы'!$A$9:$J$103,4,FALSE))</f>
        <v/>
      </c>
      <c r="K120" s="6" t="str">
        <f>IF(OR(Таблица26[[#This Row],[Столбец1]]="",Таблица26[[#This Row],[Столбец5]]="",Таблица26[[#This Row],[Столбец5]]="отсутствует"),"",VLOOKUP(A120,'Р 4. Показатели_индикаторы'!$A$9:$J$103,5,FALSE))</f>
        <v/>
      </c>
      <c r="L120" s="6" t="str">
        <f>IF(OR(Таблица26[[#This Row],[Столбец1]]="",Таблица26[[#This Row],[Столбец5]]="",Таблица26[[#This Row],[Столбец5]]="отсутствует"),"",VLOOKUP(A120,'Р 4. Показатели_индикаторы'!$A$9:$J$103,6,FALSE))</f>
        <v/>
      </c>
      <c r="M120" s="6" t="str">
        <f>IF(OR(Таблица26[[#This Row],[Столбец1]]="",Таблица26[[#This Row],[Столбец5]]="",Таблица26[[#This Row],[Столбец5]]="отсутствует"),"",VLOOKUP(A120,'Р 4. Показатели_индикаторы'!$A$9:$J$103,7,FALSE))</f>
        <v/>
      </c>
      <c r="N120" s="6" t="str">
        <f>IF(OR(Таблица26[[#This Row],[Столбец1]]="",Таблица26[[#This Row],[Столбец5]]="",Таблица26[[#This Row],[Столбец5]]="отсутствует"),"",VLOOKUP(A120,'Р 4. Показатели_индикаторы'!$A$9:$J$103,8,FALSE))</f>
        <v/>
      </c>
      <c r="O120" s="10" t="str">
        <f>IF(VLOOKUP(A120,'Р 1. "Общие сведения"'!$I$8:$L$179,4,FALSE)="","",VLOOKUP(A120,'Р 1. "Общие сведения"'!$I$8:$L$179,4,FALSE))</f>
        <v/>
      </c>
    </row>
    <row r="121" spans="1:15" x14ac:dyDescent="0.25">
      <c r="A121" s="48" t="str">
        <f>IF('Р 1. "Общие сведения"'!I121="","",'Р 1. "Общие сведения"'!I121)</f>
        <v xml:space="preserve"> </v>
      </c>
      <c r="B121" s="44" t="str">
        <f>IF('Р 1. "Общие сведения"'!J121="","",'Р 1. "Общие сведения"'!J121)</f>
        <v/>
      </c>
      <c r="C121" s="44" t="str">
        <f>IF('Р 1. "Общие сведения"'!H121="","",'Р 1. "Общие сведения"'!H121)</f>
        <v/>
      </c>
      <c r="D121" s="44" t="str">
        <f>IF('Р 1. "Общие сведения"'!D121="","",'Р 1. "Общие сведения"'!D121)</f>
        <v/>
      </c>
      <c r="E121" s="44" t="str">
        <f>IF('Р 1. "Общие сведения"'!K121="","",'Р 1. "Общие сведения"'!K121)</f>
        <v/>
      </c>
      <c r="F121" s="45" t="str">
        <f>IF(OR(Таблица26[[#This Row],[Столбец1]]="",Таблица26[[#This Row],[Столбец5]]="",),"",VLOOKUP(A121,Таблица9[#All],2,FALSE))</f>
        <v/>
      </c>
      <c r="G121" s="47" t="str">
        <f>IF(OR(Таблица26[[#This Row],[Столбец1]]="",Таблица26[[#This Row],[Столбец5]]=""),"",VLOOKUP(A121,'Р 5. Финансирование'!$A$9:$D$100,3,FALSE))</f>
        <v/>
      </c>
      <c r="H121" s="47" t="str">
        <f>IF(OR(Таблица26[[#This Row],[Столбец1]]="",Таблица26[[#This Row],[Столбец5]]=""),"",VLOOKUP(A121,'Р 5. Финансирование'!$A$9:$D$100,4,FALSE))</f>
        <v/>
      </c>
      <c r="I121" s="6" t="str">
        <f>IF(OR(Таблица26[[#This Row],[Столбец5]]="отсутствует",Таблица26[[#This Row],[Столбец5]]=""),"",VLOOKUP(A121,'Р 4. Показатели_индикаторы'!$A$9:$J$103,3,FALSE))</f>
        <v/>
      </c>
      <c r="J121" s="6" t="str">
        <f>IF(OR(Таблица26[[#This Row],[Столбец5]]="отсутствует",Таблица26[[#This Row],[Столбец5]]=""),"",VLOOKUP(A121,'Р 4. Показатели_индикаторы'!$A$9:$J$103,4,FALSE))</f>
        <v/>
      </c>
      <c r="K121" s="6" t="str">
        <f>IF(OR(Таблица26[[#This Row],[Столбец1]]="",Таблица26[[#This Row],[Столбец5]]="",Таблица26[[#This Row],[Столбец5]]="отсутствует"),"",VLOOKUP(A121,'Р 4. Показатели_индикаторы'!$A$9:$J$103,5,FALSE))</f>
        <v/>
      </c>
      <c r="L121" s="6" t="str">
        <f>IF(OR(Таблица26[[#This Row],[Столбец1]]="",Таблица26[[#This Row],[Столбец5]]="",Таблица26[[#This Row],[Столбец5]]="отсутствует"),"",VLOOKUP(A121,'Р 4. Показатели_индикаторы'!$A$9:$J$103,6,FALSE))</f>
        <v/>
      </c>
      <c r="M121" s="6" t="str">
        <f>IF(OR(Таблица26[[#This Row],[Столбец1]]="",Таблица26[[#This Row],[Столбец5]]="",Таблица26[[#This Row],[Столбец5]]="отсутствует"),"",VLOOKUP(A121,'Р 4. Показатели_индикаторы'!$A$9:$J$103,7,FALSE))</f>
        <v/>
      </c>
      <c r="N121" s="6" t="str">
        <f>IF(OR(Таблица26[[#This Row],[Столбец1]]="",Таблица26[[#This Row],[Столбец5]]="",Таблица26[[#This Row],[Столбец5]]="отсутствует"),"",VLOOKUP(A121,'Р 4. Показатели_индикаторы'!$A$9:$J$103,8,FALSE))</f>
        <v/>
      </c>
      <c r="O121" s="10" t="str">
        <f>IF(VLOOKUP(A121,'Р 1. "Общие сведения"'!$I$8:$L$179,4,FALSE)="","",VLOOKUP(A121,'Р 1. "Общие сведения"'!$I$8:$L$179,4,FALSE))</f>
        <v/>
      </c>
    </row>
    <row r="122" spans="1:15" x14ac:dyDescent="0.25">
      <c r="A122" s="48" t="str">
        <f>IF('Р 1. "Общие сведения"'!I122="","",'Р 1. "Общие сведения"'!I122)</f>
        <v xml:space="preserve"> </v>
      </c>
      <c r="B122" s="44" t="str">
        <f>IF('Р 1. "Общие сведения"'!J122="","",'Р 1. "Общие сведения"'!J122)</f>
        <v/>
      </c>
      <c r="C122" s="44" t="str">
        <f>IF('Р 1. "Общие сведения"'!H122="","",'Р 1. "Общие сведения"'!H122)</f>
        <v/>
      </c>
      <c r="D122" s="44" t="str">
        <f>IF('Р 1. "Общие сведения"'!D122="","",'Р 1. "Общие сведения"'!D122)</f>
        <v/>
      </c>
      <c r="E122" s="44" t="str">
        <f>IF('Р 1. "Общие сведения"'!K122="","",'Р 1. "Общие сведения"'!K122)</f>
        <v/>
      </c>
      <c r="F122" s="45" t="str">
        <f>IF(OR(Таблица26[[#This Row],[Столбец1]]="",Таблица26[[#This Row],[Столбец5]]="",),"",VLOOKUP(A122,Таблица9[#All],2,FALSE))</f>
        <v/>
      </c>
      <c r="G122" s="47" t="str">
        <f>IF(OR(Таблица26[[#This Row],[Столбец1]]="",Таблица26[[#This Row],[Столбец5]]=""),"",VLOOKUP(A122,'Р 5. Финансирование'!$A$9:$D$100,3,FALSE))</f>
        <v/>
      </c>
      <c r="H122" s="47" t="str">
        <f>IF(OR(Таблица26[[#This Row],[Столбец1]]="",Таблица26[[#This Row],[Столбец5]]=""),"",VLOOKUP(A122,'Р 5. Финансирование'!$A$9:$D$100,4,FALSE))</f>
        <v/>
      </c>
      <c r="I122" s="6" t="str">
        <f>IF(OR(Таблица26[[#This Row],[Столбец5]]="отсутствует",Таблица26[[#This Row],[Столбец5]]=""),"",VLOOKUP(A122,'Р 4. Показатели_индикаторы'!$A$9:$J$103,3,FALSE))</f>
        <v/>
      </c>
      <c r="J122" s="6" t="str">
        <f>IF(OR(Таблица26[[#This Row],[Столбец5]]="отсутствует",Таблица26[[#This Row],[Столбец5]]=""),"",VLOOKUP(A122,'Р 4. Показатели_индикаторы'!$A$9:$J$103,4,FALSE))</f>
        <v/>
      </c>
      <c r="K122" s="6" t="str">
        <f>IF(OR(Таблица26[[#This Row],[Столбец1]]="",Таблица26[[#This Row],[Столбец5]]="",Таблица26[[#This Row],[Столбец5]]="отсутствует"),"",VLOOKUP(A122,'Р 4. Показатели_индикаторы'!$A$9:$J$103,5,FALSE))</f>
        <v/>
      </c>
      <c r="L122" s="6" t="str">
        <f>IF(OR(Таблица26[[#This Row],[Столбец1]]="",Таблица26[[#This Row],[Столбец5]]="",Таблица26[[#This Row],[Столбец5]]="отсутствует"),"",VLOOKUP(A122,'Р 4. Показатели_индикаторы'!$A$9:$J$103,6,FALSE))</f>
        <v/>
      </c>
      <c r="M122" s="6" t="str">
        <f>IF(OR(Таблица26[[#This Row],[Столбец1]]="",Таблица26[[#This Row],[Столбец5]]="",Таблица26[[#This Row],[Столбец5]]="отсутствует"),"",VLOOKUP(A122,'Р 4. Показатели_индикаторы'!$A$9:$J$103,7,FALSE))</f>
        <v/>
      </c>
      <c r="N122" s="6" t="str">
        <f>IF(OR(Таблица26[[#This Row],[Столбец1]]="",Таблица26[[#This Row],[Столбец5]]="",Таблица26[[#This Row],[Столбец5]]="отсутствует"),"",VLOOKUP(A122,'Р 4. Показатели_индикаторы'!$A$9:$J$103,8,FALSE))</f>
        <v/>
      </c>
      <c r="O122" s="10" t="str">
        <f>IF(VLOOKUP(A122,'Р 1. "Общие сведения"'!$I$8:$L$179,4,FALSE)="","",VLOOKUP(A122,'Р 1. "Общие сведения"'!$I$8:$L$179,4,FALSE))</f>
        <v/>
      </c>
    </row>
    <row r="123" spans="1:15" x14ac:dyDescent="0.25">
      <c r="A123" s="48" t="str">
        <f>IF('Р 1. "Общие сведения"'!I123="","",'Р 1. "Общие сведения"'!I123)</f>
        <v xml:space="preserve"> </v>
      </c>
      <c r="B123" s="44" t="str">
        <f>IF('Р 1. "Общие сведения"'!J123="","",'Р 1. "Общие сведения"'!J123)</f>
        <v/>
      </c>
      <c r="C123" s="44" t="str">
        <f>IF('Р 1. "Общие сведения"'!H123="","",'Р 1. "Общие сведения"'!H123)</f>
        <v/>
      </c>
      <c r="D123" s="44" t="str">
        <f>IF('Р 1. "Общие сведения"'!D123="","",'Р 1. "Общие сведения"'!D123)</f>
        <v/>
      </c>
      <c r="E123" s="44" t="str">
        <f>IF('Р 1. "Общие сведения"'!K123="","",'Р 1. "Общие сведения"'!K123)</f>
        <v/>
      </c>
      <c r="F123" s="45" t="str">
        <f>IF(OR(Таблица26[[#This Row],[Столбец1]]="",Таблица26[[#This Row],[Столбец5]]="",),"",VLOOKUP(A123,Таблица9[#All],2,FALSE))</f>
        <v/>
      </c>
      <c r="G123" s="47" t="str">
        <f>IF(OR(Таблица26[[#This Row],[Столбец1]]="",Таблица26[[#This Row],[Столбец5]]=""),"",VLOOKUP(A123,'Р 5. Финансирование'!$A$9:$D$100,3,FALSE))</f>
        <v/>
      </c>
      <c r="H123" s="47" t="str">
        <f>IF(OR(Таблица26[[#This Row],[Столбец1]]="",Таблица26[[#This Row],[Столбец5]]=""),"",VLOOKUP(A123,'Р 5. Финансирование'!$A$9:$D$100,4,FALSE))</f>
        <v/>
      </c>
      <c r="I123" s="6" t="str">
        <f>IF(OR(Таблица26[[#This Row],[Столбец5]]="отсутствует",Таблица26[[#This Row],[Столбец5]]=""),"",VLOOKUP(A123,'Р 4. Показатели_индикаторы'!$A$9:$J$103,3,FALSE))</f>
        <v/>
      </c>
      <c r="J123" s="6" t="str">
        <f>IF(OR(Таблица26[[#This Row],[Столбец5]]="отсутствует",Таблица26[[#This Row],[Столбец5]]=""),"",VLOOKUP(A123,'Р 4. Показатели_индикаторы'!$A$9:$J$103,4,FALSE))</f>
        <v/>
      </c>
      <c r="K123" s="6" t="str">
        <f>IF(OR(Таблица26[[#This Row],[Столбец1]]="",Таблица26[[#This Row],[Столбец5]]="",Таблица26[[#This Row],[Столбец5]]="отсутствует"),"",VLOOKUP(A123,'Р 4. Показатели_индикаторы'!$A$9:$J$103,5,FALSE))</f>
        <v/>
      </c>
      <c r="L123" s="6" t="str">
        <f>IF(OR(Таблица26[[#This Row],[Столбец1]]="",Таблица26[[#This Row],[Столбец5]]="",Таблица26[[#This Row],[Столбец5]]="отсутствует"),"",VLOOKUP(A123,'Р 4. Показатели_индикаторы'!$A$9:$J$103,6,FALSE))</f>
        <v/>
      </c>
      <c r="M123" s="6" t="str">
        <f>IF(OR(Таблица26[[#This Row],[Столбец1]]="",Таблица26[[#This Row],[Столбец5]]="",Таблица26[[#This Row],[Столбец5]]="отсутствует"),"",VLOOKUP(A123,'Р 4. Показатели_индикаторы'!$A$9:$J$103,7,FALSE))</f>
        <v/>
      </c>
      <c r="N123" s="6" t="str">
        <f>IF(OR(Таблица26[[#This Row],[Столбец1]]="",Таблица26[[#This Row],[Столбец5]]="",Таблица26[[#This Row],[Столбец5]]="отсутствует"),"",VLOOKUP(A123,'Р 4. Показатели_индикаторы'!$A$9:$J$103,8,FALSE))</f>
        <v/>
      </c>
      <c r="O123" s="10" t="str">
        <f>IF(VLOOKUP(A123,'Р 1. "Общие сведения"'!$I$8:$L$179,4,FALSE)="","",VLOOKUP(A123,'Р 1. "Общие сведения"'!$I$8:$L$179,4,FALSE))</f>
        <v/>
      </c>
    </row>
    <row r="124" spans="1:15" x14ac:dyDescent="0.25">
      <c r="A124" s="48" t="str">
        <f>IF('Р 1. "Общие сведения"'!I124="","",'Р 1. "Общие сведения"'!I124)</f>
        <v xml:space="preserve"> </v>
      </c>
      <c r="B124" s="44" t="str">
        <f>IF('Р 1. "Общие сведения"'!J124="","",'Р 1. "Общие сведения"'!J124)</f>
        <v/>
      </c>
      <c r="C124" s="44" t="str">
        <f>IF('Р 1. "Общие сведения"'!H124="","",'Р 1. "Общие сведения"'!H124)</f>
        <v/>
      </c>
      <c r="D124" s="44" t="str">
        <f>IF('Р 1. "Общие сведения"'!D124="","",'Р 1. "Общие сведения"'!D124)</f>
        <v/>
      </c>
      <c r="E124" s="44" t="str">
        <f>IF('Р 1. "Общие сведения"'!K124="","",'Р 1. "Общие сведения"'!K124)</f>
        <v/>
      </c>
      <c r="F124" s="45" t="str">
        <f>IF(OR(Таблица26[[#This Row],[Столбец1]]="",Таблица26[[#This Row],[Столбец5]]="",),"",VLOOKUP(A124,Таблица9[#All],2,FALSE))</f>
        <v/>
      </c>
      <c r="G124" s="47" t="str">
        <f>IF(OR(Таблица26[[#This Row],[Столбец1]]="",Таблица26[[#This Row],[Столбец5]]=""),"",VLOOKUP(A124,'Р 5. Финансирование'!$A$9:$D$100,3,FALSE))</f>
        <v/>
      </c>
      <c r="H124" s="47" t="str">
        <f>IF(OR(Таблица26[[#This Row],[Столбец1]]="",Таблица26[[#This Row],[Столбец5]]=""),"",VLOOKUP(A124,'Р 5. Финансирование'!$A$9:$D$100,4,FALSE))</f>
        <v/>
      </c>
      <c r="I124" s="6" t="str">
        <f>IF(OR(Таблица26[[#This Row],[Столбец5]]="отсутствует",Таблица26[[#This Row],[Столбец5]]=""),"",VLOOKUP(A124,'Р 4. Показатели_индикаторы'!$A$9:$J$103,3,FALSE))</f>
        <v/>
      </c>
      <c r="J124" s="6" t="str">
        <f>IF(OR(Таблица26[[#This Row],[Столбец5]]="отсутствует",Таблица26[[#This Row],[Столбец5]]=""),"",VLOOKUP(A124,'Р 4. Показатели_индикаторы'!$A$9:$J$103,4,FALSE))</f>
        <v/>
      </c>
      <c r="K124" s="6" t="str">
        <f>IF(OR(Таблица26[[#This Row],[Столбец1]]="",Таблица26[[#This Row],[Столбец5]]="",Таблица26[[#This Row],[Столбец5]]="отсутствует"),"",VLOOKUP(A124,'Р 4. Показатели_индикаторы'!$A$9:$J$103,5,FALSE))</f>
        <v/>
      </c>
      <c r="L124" s="6" t="str">
        <f>IF(OR(Таблица26[[#This Row],[Столбец1]]="",Таблица26[[#This Row],[Столбец5]]="",Таблица26[[#This Row],[Столбец5]]="отсутствует"),"",VLOOKUP(A124,'Р 4. Показатели_индикаторы'!$A$9:$J$103,6,FALSE))</f>
        <v/>
      </c>
      <c r="M124" s="6" t="str">
        <f>IF(OR(Таблица26[[#This Row],[Столбец1]]="",Таблица26[[#This Row],[Столбец5]]="",Таблица26[[#This Row],[Столбец5]]="отсутствует"),"",VLOOKUP(A124,'Р 4. Показатели_индикаторы'!$A$9:$J$103,7,FALSE))</f>
        <v/>
      </c>
      <c r="N124" s="6" t="str">
        <f>IF(OR(Таблица26[[#This Row],[Столбец1]]="",Таблица26[[#This Row],[Столбец5]]="",Таблица26[[#This Row],[Столбец5]]="отсутствует"),"",VLOOKUP(A124,'Р 4. Показатели_индикаторы'!$A$9:$J$103,8,FALSE))</f>
        <v/>
      </c>
      <c r="O124" s="10" t="str">
        <f>IF(VLOOKUP(A124,'Р 1. "Общие сведения"'!$I$8:$L$179,4,FALSE)="","",VLOOKUP(A124,'Р 1. "Общие сведения"'!$I$8:$L$179,4,FALSE))</f>
        <v/>
      </c>
    </row>
    <row r="125" spans="1:15" x14ac:dyDescent="0.25">
      <c r="A125" s="48" t="str">
        <f>IF('Р 1. "Общие сведения"'!I125="","",'Р 1. "Общие сведения"'!I125)</f>
        <v xml:space="preserve"> </v>
      </c>
      <c r="B125" s="44" t="str">
        <f>IF('Р 1. "Общие сведения"'!J125="","",'Р 1. "Общие сведения"'!J125)</f>
        <v/>
      </c>
      <c r="C125" s="44" t="str">
        <f>IF('Р 1. "Общие сведения"'!H125="","",'Р 1. "Общие сведения"'!H125)</f>
        <v/>
      </c>
      <c r="D125" s="44" t="str">
        <f>IF('Р 1. "Общие сведения"'!D125="","",'Р 1. "Общие сведения"'!D125)</f>
        <v/>
      </c>
      <c r="E125" s="44" t="str">
        <f>IF('Р 1. "Общие сведения"'!K125="","",'Р 1. "Общие сведения"'!K125)</f>
        <v/>
      </c>
      <c r="F125" s="45" t="str">
        <f>IF(OR(Таблица26[[#This Row],[Столбец1]]="",Таблица26[[#This Row],[Столбец5]]="",),"",VLOOKUP(A125,Таблица9[#All],2,FALSE))</f>
        <v/>
      </c>
      <c r="G125" s="47" t="str">
        <f>IF(OR(Таблица26[[#This Row],[Столбец1]]="",Таблица26[[#This Row],[Столбец5]]=""),"",VLOOKUP(A125,'Р 5. Финансирование'!$A$9:$D$100,3,FALSE))</f>
        <v/>
      </c>
      <c r="H125" s="47" t="str">
        <f>IF(OR(Таблица26[[#This Row],[Столбец1]]="",Таблица26[[#This Row],[Столбец5]]=""),"",VLOOKUP(A125,'Р 5. Финансирование'!$A$9:$D$100,4,FALSE))</f>
        <v/>
      </c>
      <c r="I125" s="6" t="str">
        <f>IF(OR(Таблица26[[#This Row],[Столбец5]]="отсутствует",Таблица26[[#This Row],[Столбец5]]=""),"",VLOOKUP(A125,'Р 4. Показатели_индикаторы'!$A$9:$J$103,3,FALSE))</f>
        <v/>
      </c>
      <c r="J125" s="6" t="str">
        <f>IF(OR(Таблица26[[#This Row],[Столбец5]]="отсутствует",Таблица26[[#This Row],[Столбец5]]=""),"",VLOOKUP(A125,'Р 4. Показатели_индикаторы'!$A$9:$J$103,4,FALSE))</f>
        <v/>
      </c>
      <c r="K125" s="6" t="str">
        <f>IF(OR(Таблица26[[#This Row],[Столбец1]]="",Таблица26[[#This Row],[Столбец5]]="",Таблица26[[#This Row],[Столбец5]]="отсутствует"),"",VLOOKUP(A125,'Р 4. Показатели_индикаторы'!$A$9:$J$103,5,FALSE))</f>
        <v/>
      </c>
      <c r="L125" s="6" t="str">
        <f>IF(OR(Таблица26[[#This Row],[Столбец1]]="",Таблица26[[#This Row],[Столбец5]]="",Таблица26[[#This Row],[Столбец5]]="отсутствует"),"",VLOOKUP(A125,'Р 4. Показатели_индикаторы'!$A$9:$J$103,6,FALSE))</f>
        <v/>
      </c>
      <c r="M125" s="6" t="str">
        <f>IF(OR(Таблица26[[#This Row],[Столбец1]]="",Таблица26[[#This Row],[Столбец5]]="",Таблица26[[#This Row],[Столбец5]]="отсутствует"),"",VLOOKUP(A125,'Р 4. Показатели_индикаторы'!$A$9:$J$103,7,FALSE))</f>
        <v/>
      </c>
      <c r="N125" s="6" t="str">
        <f>IF(OR(Таблица26[[#This Row],[Столбец1]]="",Таблица26[[#This Row],[Столбец5]]="",Таблица26[[#This Row],[Столбец5]]="отсутствует"),"",VLOOKUP(A125,'Р 4. Показатели_индикаторы'!$A$9:$J$103,8,FALSE))</f>
        <v/>
      </c>
      <c r="O125" s="10" t="str">
        <f>IF(VLOOKUP(A125,'Р 1. "Общие сведения"'!$I$8:$L$179,4,FALSE)="","",VLOOKUP(A125,'Р 1. "Общие сведения"'!$I$8:$L$179,4,FALSE))</f>
        <v/>
      </c>
    </row>
    <row r="126" spans="1:15" x14ac:dyDescent="0.25">
      <c r="A126" s="48" t="str">
        <f>IF('Р 1. "Общие сведения"'!I126="","",'Р 1. "Общие сведения"'!I126)</f>
        <v xml:space="preserve"> </v>
      </c>
      <c r="B126" s="44" t="str">
        <f>IF('Р 1. "Общие сведения"'!J126="","",'Р 1. "Общие сведения"'!J126)</f>
        <v/>
      </c>
      <c r="C126" s="44" t="str">
        <f>IF('Р 1. "Общие сведения"'!H126="","",'Р 1. "Общие сведения"'!H126)</f>
        <v/>
      </c>
      <c r="D126" s="44" t="str">
        <f>IF('Р 1. "Общие сведения"'!D126="","",'Р 1. "Общие сведения"'!D126)</f>
        <v/>
      </c>
      <c r="E126" s="44" t="str">
        <f>IF('Р 1. "Общие сведения"'!K126="","",'Р 1. "Общие сведения"'!K126)</f>
        <v/>
      </c>
      <c r="F126" s="45" t="str">
        <f>IF(OR(Таблица26[[#This Row],[Столбец1]]="",Таблица26[[#This Row],[Столбец5]]="",),"",VLOOKUP(A126,Таблица9[#All],2,FALSE))</f>
        <v/>
      </c>
      <c r="G126" s="47" t="str">
        <f>IF(OR(Таблица26[[#This Row],[Столбец1]]="",Таблица26[[#This Row],[Столбец5]]=""),"",VLOOKUP(A126,'Р 5. Финансирование'!$A$9:$D$100,3,FALSE))</f>
        <v/>
      </c>
      <c r="H126" s="47" t="str">
        <f>IF(OR(Таблица26[[#This Row],[Столбец1]]="",Таблица26[[#This Row],[Столбец5]]=""),"",VLOOKUP(A126,'Р 5. Финансирование'!$A$9:$D$100,4,FALSE))</f>
        <v/>
      </c>
      <c r="I126" s="6" t="str">
        <f>IF(OR(Таблица26[[#This Row],[Столбец5]]="отсутствует",Таблица26[[#This Row],[Столбец5]]=""),"",VLOOKUP(A126,'Р 4. Показатели_индикаторы'!$A$9:$J$103,3,FALSE))</f>
        <v/>
      </c>
      <c r="J126" s="6" t="str">
        <f>IF(OR(Таблица26[[#This Row],[Столбец5]]="отсутствует",Таблица26[[#This Row],[Столбец5]]=""),"",VLOOKUP(A126,'Р 4. Показатели_индикаторы'!$A$9:$J$103,4,FALSE))</f>
        <v/>
      </c>
      <c r="K126" s="6" t="str">
        <f>IF(OR(Таблица26[[#This Row],[Столбец1]]="",Таблица26[[#This Row],[Столбец5]]="",Таблица26[[#This Row],[Столбец5]]="отсутствует"),"",VLOOKUP(A126,'Р 4. Показатели_индикаторы'!$A$9:$J$103,5,FALSE))</f>
        <v/>
      </c>
      <c r="L126" s="6" t="str">
        <f>IF(OR(Таблица26[[#This Row],[Столбец1]]="",Таблица26[[#This Row],[Столбец5]]="",Таблица26[[#This Row],[Столбец5]]="отсутствует"),"",VLOOKUP(A126,'Р 4. Показатели_индикаторы'!$A$9:$J$103,6,FALSE))</f>
        <v/>
      </c>
      <c r="M126" s="6" t="str">
        <f>IF(OR(Таблица26[[#This Row],[Столбец1]]="",Таблица26[[#This Row],[Столбец5]]="",Таблица26[[#This Row],[Столбец5]]="отсутствует"),"",VLOOKUP(A126,'Р 4. Показатели_индикаторы'!$A$9:$J$103,7,FALSE))</f>
        <v/>
      </c>
      <c r="N126" s="6" t="str">
        <f>IF(OR(Таблица26[[#This Row],[Столбец1]]="",Таблица26[[#This Row],[Столбец5]]="",Таблица26[[#This Row],[Столбец5]]="отсутствует"),"",VLOOKUP(A126,'Р 4. Показатели_индикаторы'!$A$9:$J$103,8,FALSE))</f>
        <v/>
      </c>
      <c r="O126" s="10" t="str">
        <f>IF(VLOOKUP(A126,'Р 1. "Общие сведения"'!$I$8:$L$179,4,FALSE)="","",VLOOKUP(A126,'Р 1. "Общие сведения"'!$I$8:$L$179,4,FALSE))</f>
        <v/>
      </c>
    </row>
    <row r="127" spans="1:15" x14ac:dyDescent="0.25">
      <c r="A127" s="48" t="str">
        <f>IF('Р 1. "Общие сведения"'!I127="","",'Р 1. "Общие сведения"'!I127)</f>
        <v xml:space="preserve"> </v>
      </c>
      <c r="B127" s="44" t="str">
        <f>IF('Р 1. "Общие сведения"'!J127="","",'Р 1. "Общие сведения"'!J127)</f>
        <v/>
      </c>
      <c r="C127" s="44" t="str">
        <f>IF('Р 1. "Общие сведения"'!H127="","",'Р 1. "Общие сведения"'!H127)</f>
        <v/>
      </c>
      <c r="D127" s="44" t="str">
        <f>IF('Р 1. "Общие сведения"'!D127="","",'Р 1. "Общие сведения"'!D127)</f>
        <v/>
      </c>
      <c r="E127" s="44" t="str">
        <f>IF('Р 1. "Общие сведения"'!K127="","",'Р 1. "Общие сведения"'!K127)</f>
        <v/>
      </c>
      <c r="F127" s="45" t="str">
        <f>IF(OR(Таблица26[[#This Row],[Столбец1]]="",Таблица26[[#This Row],[Столбец5]]="",),"",VLOOKUP(A127,Таблица9[#All],2,FALSE))</f>
        <v/>
      </c>
      <c r="G127" s="47" t="str">
        <f>IF(OR(Таблица26[[#This Row],[Столбец1]]="",Таблица26[[#This Row],[Столбец5]]=""),"",VLOOKUP(A127,'Р 5. Финансирование'!$A$9:$D$100,3,FALSE))</f>
        <v/>
      </c>
      <c r="H127" s="47" t="str">
        <f>IF(OR(Таблица26[[#This Row],[Столбец1]]="",Таблица26[[#This Row],[Столбец5]]=""),"",VLOOKUP(A127,'Р 5. Финансирование'!$A$9:$D$100,4,FALSE))</f>
        <v/>
      </c>
      <c r="I127" s="6" t="str">
        <f>IF(OR(Таблица26[[#This Row],[Столбец5]]="отсутствует",Таблица26[[#This Row],[Столбец5]]=""),"",VLOOKUP(A127,'Р 4. Показатели_индикаторы'!$A$9:$J$103,3,FALSE))</f>
        <v/>
      </c>
      <c r="J127" s="6" t="str">
        <f>IF(OR(Таблица26[[#This Row],[Столбец5]]="отсутствует",Таблица26[[#This Row],[Столбец5]]=""),"",VLOOKUP(A127,'Р 4. Показатели_индикаторы'!$A$9:$J$103,4,FALSE))</f>
        <v/>
      </c>
      <c r="K127" s="6" t="str">
        <f>IF(OR(Таблица26[[#This Row],[Столбец1]]="",Таблица26[[#This Row],[Столбец5]]="",Таблица26[[#This Row],[Столбец5]]="отсутствует"),"",VLOOKUP(A127,'Р 4. Показатели_индикаторы'!$A$9:$J$103,5,FALSE))</f>
        <v/>
      </c>
      <c r="L127" s="6" t="str">
        <f>IF(OR(Таблица26[[#This Row],[Столбец1]]="",Таблица26[[#This Row],[Столбец5]]="",Таблица26[[#This Row],[Столбец5]]="отсутствует"),"",VLOOKUP(A127,'Р 4. Показатели_индикаторы'!$A$9:$J$103,6,FALSE))</f>
        <v/>
      </c>
      <c r="M127" s="6" t="str">
        <f>IF(OR(Таблица26[[#This Row],[Столбец1]]="",Таблица26[[#This Row],[Столбец5]]="",Таблица26[[#This Row],[Столбец5]]="отсутствует"),"",VLOOKUP(A127,'Р 4. Показатели_индикаторы'!$A$9:$J$103,7,FALSE))</f>
        <v/>
      </c>
      <c r="N127" s="6" t="str">
        <f>IF(OR(Таблица26[[#This Row],[Столбец1]]="",Таблица26[[#This Row],[Столбец5]]="",Таблица26[[#This Row],[Столбец5]]="отсутствует"),"",VLOOKUP(A127,'Р 4. Показатели_индикаторы'!$A$9:$J$103,8,FALSE))</f>
        <v/>
      </c>
      <c r="O127" s="10" t="str">
        <f>IF(VLOOKUP(A127,'Р 1. "Общие сведения"'!$I$8:$L$179,4,FALSE)="","",VLOOKUP(A127,'Р 1. "Общие сведения"'!$I$8:$L$179,4,FALSE))</f>
        <v/>
      </c>
    </row>
    <row r="128" spans="1:15" x14ac:dyDescent="0.25">
      <c r="A128" s="48" t="str">
        <f>IF('Р 1. "Общие сведения"'!I128="","",'Р 1. "Общие сведения"'!I128)</f>
        <v xml:space="preserve"> </v>
      </c>
      <c r="B128" s="44" t="str">
        <f>IF('Р 1. "Общие сведения"'!J128="","",'Р 1. "Общие сведения"'!J128)</f>
        <v/>
      </c>
      <c r="C128" s="44" t="str">
        <f>IF('Р 1. "Общие сведения"'!H128="","",'Р 1. "Общие сведения"'!H128)</f>
        <v/>
      </c>
      <c r="D128" s="44" t="str">
        <f>IF('Р 1. "Общие сведения"'!D128="","",'Р 1. "Общие сведения"'!D128)</f>
        <v/>
      </c>
      <c r="E128" s="44" t="str">
        <f>IF('Р 1. "Общие сведения"'!K128="","",'Р 1. "Общие сведения"'!K128)</f>
        <v/>
      </c>
      <c r="F128" s="45" t="str">
        <f>IF(OR(Таблица26[[#This Row],[Столбец1]]="",Таблица26[[#This Row],[Столбец5]]="",),"",VLOOKUP(A128,Таблица9[#All],2,FALSE))</f>
        <v/>
      </c>
      <c r="G128" s="47" t="str">
        <f>IF(OR(Таблица26[[#This Row],[Столбец1]]="",Таблица26[[#This Row],[Столбец5]]=""),"",VLOOKUP(A128,'Р 5. Финансирование'!$A$9:$D$100,3,FALSE))</f>
        <v/>
      </c>
      <c r="H128" s="47" t="str">
        <f>IF(OR(Таблица26[[#This Row],[Столбец1]]="",Таблица26[[#This Row],[Столбец5]]=""),"",VLOOKUP(A128,'Р 5. Финансирование'!$A$9:$D$100,4,FALSE))</f>
        <v/>
      </c>
      <c r="I128" s="6" t="str">
        <f>IF(OR(Таблица26[[#This Row],[Столбец5]]="отсутствует",Таблица26[[#This Row],[Столбец5]]=""),"",VLOOKUP(A128,'Р 4. Показатели_индикаторы'!$A$9:$J$103,3,FALSE))</f>
        <v/>
      </c>
      <c r="J128" s="6" t="str">
        <f>IF(OR(Таблица26[[#This Row],[Столбец5]]="отсутствует",Таблица26[[#This Row],[Столбец5]]=""),"",VLOOKUP(A128,'Р 4. Показатели_индикаторы'!$A$9:$J$103,4,FALSE))</f>
        <v/>
      </c>
      <c r="K128" s="6" t="str">
        <f>IF(OR(Таблица26[[#This Row],[Столбец1]]="",Таблица26[[#This Row],[Столбец5]]="",Таблица26[[#This Row],[Столбец5]]="отсутствует"),"",VLOOKUP(A128,'Р 4. Показатели_индикаторы'!$A$9:$J$103,5,FALSE))</f>
        <v/>
      </c>
      <c r="L128" s="6" t="str">
        <f>IF(OR(Таблица26[[#This Row],[Столбец1]]="",Таблица26[[#This Row],[Столбец5]]="",Таблица26[[#This Row],[Столбец5]]="отсутствует"),"",VLOOKUP(A128,'Р 4. Показатели_индикаторы'!$A$9:$J$103,6,FALSE))</f>
        <v/>
      </c>
      <c r="M128" s="6" t="str">
        <f>IF(OR(Таблица26[[#This Row],[Столбец1]]="",Таблица26[[#This Row],[Столбец5]]="",Таблица26[[#This Row],[Столбец5]]="отсутствует"),"",VLOOKUP(A128,'Р 4. Показатели_индикаторы'!$A$9:$J$103,7,FALSE))</f>
        <v/>
      </c>
      <c r="N128" s="6" t="str">
        <f>IF(OR(Таблица26[[#This Row],[Столбец1]]="",Таблица26[[#This Row],[Столбец5]]="",Таблица26[[#This Row],[Столбец5]]="отсутствует"),"",VLOOKUP(A128,'Р 4. Показатели_индикаторы'!$A$9:$J$103,8,FALSE))</f>
        <v/>
      </c>
      <c r="O128" s="10" t="str">
        <f>IF(VLOOKUP(A128,'Р 1. "Общие сведения"'!$I$8:$L$179,4,FALSE)="","",VLOOKUP(A128,'Р 1. "Общие сведения"'!$I$8:$L$179,4,FALSE))</f>
        <v/>
      </c>
    </row>
    <row r="129" spans="1:15" x14ac:dyDescent="0.25">
      <c r="A129" s="48" t="str">
        <f>IF('Р 1. "Общие сведения"'!I129="","",'Р 1. "Общие сведения"'!I129)</f>
        <v xml:space="preserve"> </v>
      </c>
      <c r="B129" s="44" t="str">
        <f>IF('Р 1. "Общие сведения"'!J129="","",'Р 1. "Общие сведения"'!J129)</f>
        <v/>
      </c>
      <c r="C129" s="44" t="str">
        <f>IF('Р 1. "Общие сведения"'!H129="","",'Р 1. "Общие сведения"'!H129)</f>
        <v/>
      </c>
      <c r="D129" s="44" t="str">
        <f>IF('Р 1. "Общие сведения"'!D129="","",'Р 1. "Общие сведения"'!D129)</f>
        <v/>
      </c>
      <c r="E129" s="44" t="str">
        <f>IF('Р 1. "Общие сведения"'!K129="","",'Р 1. "Общие сведения"'!K129)</f>
        <v/>
      </c>
      <c r="F129" s="45" t="str">
        <f>IF(OR(Таблица26[[#This Row],[Столбец1]]="",Таблица26[[#This Row],[Столбец5]]="",),"",VLOOKUP(A129,Таблица9[#All],2,FALSE))</f>
        <v/>
      </c>
      <c r="G129" s="47" t="str">
        <f>IF(OR(Таблица26[[#This Row],[Столбец1]]="",Таблица26[[#This Row],[Столбец5]]=""),"",VLOOKUP(A129,'Р 5. Финансирование'!$A$9:$D$100,3,FALSE))</f>
        <v/>
      </c>
      <c r="H129" s="47" t="str">
        <f>IF(OR(Таблица26[[#This Row],[Столбец1]]="",Таблица26[[#This Row],[Столбец5]]=""),"",VLOOKUP(A129,'Р 5. Финансирование'!$A$9:$D$100,4,FALSE))</f>
        <v/>
      </c>
      <c r="I129" s="6" t="str">
        <f>IF(OR(Таблица26[[#This Row],[Столбец5]]="отсутствует",Таблица26[[#This Row],[Столбец5]]=""),"",VLOOKUP(A129,'Р 4. Показатели_индикаторы'!$A$9:$J$103,3,FALSE))</f>
        <v/>
      </c>
      <c r="J129" s="6" t="str">
        <f>IF(OR(Таблица26[[#This Row],[Столбец5]]="отсутствует",Таблица26[[#This Row],[Столбец5]]=""),"",VLOOKUP(A129,'Р 4. Показатели_индикаторы'!$A$9:$J$103,4,FALSE))</f>
        <v/>
      </c>
      <c r="K129" s="6" t="str">
        <f>IF(OR(Таблица26[[#This Row],[Столбец1]]="",Таблица26[[#This Row],[Столбец5]]="",Таблица26[[#This Row],[Столбец5]]="отсутствует"),"",VLOOKUP(A129,'Р 4. Показатели_индикаторы'!$A$9:$J$103,5,FALSE))</f>
        <v/>
      </c>
      <c r="L129" s="6" t="str">
        <f>IF(OR(Таблица26[[#This Row],[Столбец1]]="",Таблица26[[#This Row],[Столбец5]]="",Таблица26[[#This Row],[Столбец5]]="отсутствует"),"",VLOOKUP(A129,'Р 4. Показатели_индикаторы'!$A$9:$J$103,6,FALSE))</f>
        <v/>
      </c>
      <c r="M129" s="6" t="str">
        <f>IF(OR(Таблица26[[#This Row],[Столбец1]]="",Таблица26[[#This Row],[Столбец5]]="",Таблица26[[#This Row],[Столбец5]]="отсутствует"),"",VLOOKUP(A129,'Р 4. Показатели_индикаторы'!$A$9:$J$103,7,FALSE))</f>
        <v/>
      </c>
      <c r="N129" s="6" t="str">
        <f>IF(OR(Таблица26[[#This Row],[Столбец1]]="",Таблица26[[#This Row],[Столбец5]]="",Таблица26[[#This Row],[Столбец5]]="отсутствует"),"",VLOOKUP(A129,'Р 4. Показатели_индикаторы'!$A$9:$J$103,8,FALSE))</f>
        <v/>
      </c>
      <c r="O129" s="10" t="str">
        <f>IF(VLOOKUP(A129,'Р 1. "Общие сведения"'!$I$8:$L$179,4,FALSE)="","",VLOOKUP(A129,'Р 1. "Общие сведения"'!$I$8:$L$179,4,FALSE))</f>
        <v/>
      </c>
    </row>
    <row r="130" spans="1:15" x14ac:dyDescent="0.25">
      <c r="A130" s="48" t="str">
        <f>IF('Р 1. "Общие сведения"'!I130="","",'Р 1. "Общие сведения"'!I130)</f>
        <v xml:space="preserve"> </v>
      </c>
      <c r="B130" s="44" t="str">
        <f>IF('Р 1. "Общие сведения"'!J130="","",'Р 1. "Общие сведения"'!J130)</f>
        <v/>
      </c>
      <c r="C130" s="44" t="str">
        <f>IF('Р 1. "Общие сведения"'!H130="","",'Р 1. "Общие сведения"'!H130)</f>
        <v/>
      </c>
      <c r="D130" s="44" t="str">
        <f>IF('Р 1. "Общие сведения"'!D130="","",'Р 1. "Общие сведения"'!D130)</f>
        <v/>
      </c>
      <c r="E130" s="44" t="str">
        <f>IF('Р 1. "Общие сведения"'!K130="","",'Р 1. "Общие сведения"'!K130)</f>
        <v/>
      </c>
      <c r="F130" s="45" t="str">
        <f>IF(OR(Таблица26[[#This Row],[Столбец1]]="",Таблица26[[#This Row],[Столбец5]]="",),"",VLOOKUP(A130,Таблица9[#All],2,FALSE))</f>
        <v/>
      </c>
      <c r="G130" s="47" t="str">
        <f>IF(OR(Таблица26[[#This Row],[Столбец1]]="",Таблица26[[#This Row],[Столбец5]]=""),"",VLOOKUP(A130,'Р 5. Финансирование'!$A$9:$D$100,3,FALSE))</f>
        <v/>
      </c>
      <c r="H130" s="47" t="str">
        <f>IF(OR(Таблица26[[#This Row],[Столбец1]]="",Таблица26[[#This Row],[Столбец5]]=""),"",VLOOKUP(A130,'Р 5. Финансирование'!$A$9:$D$100,4,FALSE))</f>
        <v/>
      </c>
      <c r="I130" s="6" t="str">
        <f>IF(OR(Таблица26[[#This Row],[Столбец5]]="отсутствует",Таблица26[[#This Row],[Столбец5]]=""),"",VLOOKUP(A130,'Р 4. Показатели_индикаторы'!$A$9:$J$103,3,FALSE))</f>
        <v/>
      </c>
      <c r="J130" s="6" t="str">
        <f>IF(OR(Таблица26[[#This Row],[Столбец5]]="отсутствует",Таблица26[[#This Row],[Столбец5]]=""),"",VLOOKUP(A130,'Р 4. Показатели_индикаторы'!$A$9:$J$103,4,FALSE))</f>
        <v/>
      </c>
      <c r="K130" s="6" t="str">
        <f>IF(OR(Таблица26[[#This Row],[Столбец1]]="",Таблица26[[#This Row],[Столбец5]]="",Таблица26[[#This Row],[Столбец5]]="отсутствует"),"",VLOOKUP(A130,'Р 4. Показатели_индикаторы'!$A$9:$J$103,5,FALSE))</f>
        <v/>
      </c>
      <c r="L130" s="6" t="str">
        <f>IF(OR(Таблица26[[#This Row],[Столбец1]]="",Таблица26[[#This Row],[Столбец5]]="",Таблица26[[#This Row],[Столбец5]]="отсутствует"),"",VLOOKUP(A130,'Р 4. Показатели_индикаторы'!$A$9:$J$103,6,FALSE))</f>
        <v/>
      </c>
      <c r="M130" s="6" t="str">
        <f>IF(OR(Таблица26[[#This Row],[Столбец1]]="",Таблица26[[#This Row],[Столбец5]]="",Таблица26[[#This Row],[Столбец5]]="отсутствует"),"",VLOOKUP(A130,'Р 4. Показатели_индикаторы'!$A$9:$J$103,7,FALSE))</f>
        <v/>
      </c>
      <c r="N130" s="6" t="str">
        <f>IF(OR(Таблица26[[#This Row],[Столбец1]]="",Таблица26[[#This Row],[Столбец5]]="",Таблица26[[#This Row],[Столбец5]]="отсутствует"),"",VLOOKUP(A130,'Р 4. Показатели_индикаторы'!$A$9:$J$103,8,FALSE))</f>
        <v/>
      </c>
      <c r="O130" s="10" t="str">
        <f>IF(VLOOKUP(A130,'Р 1. "Общие сведения"'!$I$8:$L$179,4,FALSE)="","",VLOOKUP(A130,'Р 1. "Общие сведения"'!$I$8:$L$179,4,FALSE))</f>
        <v/>
      </c>
    </row>
    <row r="131" spans="1:15" x14ac:dyDescent="0.25">
      <c r="A131" s="48" t="str">
        <f>IF('Р 1. "Общие сведения"'!I131="","",'Р 1. "Общие сведения"'!I131)</f>
        <v xml:space="preserve"> </v>
      </c>
      <c r="B131" s="44" t="str">
        <f>IF('Р 1. "Общие сведения"'!J131="","",'Р 1. "Общие сведения"'!J131)</f>
        <v/>
      </c>
      <c r="C131" s="44" t="str">
        <f>IF('Р 1. "Общие сведения"'!H131="","",'Р 1. "Общие сведения"'!H131)</f>
        <v/>
      </c>
      <c r="D131" s="44" t="str">
        <f>IF('Р 1. "Общие сведения"'!D131="","",'Р 1. "Общие сведения"'!D131)</f>
        <v/>
      </c>
      <c r="E131" s="44" t="str">
        <f>IF('Р 1. "Общие сведения"'!K131="","",'Р 1. "Общие сведения"'!K131)</f>
        <v/>
      </c>
      <c r="F131" s="45" t="str">
        <f>IF(OR(Таблица26[[#This Row],[Столбец1]]="",Таблица26[[#This Row],[Столбец5]]="",),"",VLOOKUP(A131,Таблица9[#All],2,FALSE))</f>
        <v/>
      </c>
      <c r="G131" s="47" t="str">
        <f>IF(OR(Таблица26[[#This Row],[Столбец1]]="",Таблица26[[#This Row],[Столбец5]]=""),"",VLOOKUP(A131,'Р 5. Финансирование'!$A$9:$D$100,3,FALSE))</f>
        <v/>
      </c>
      <c r="H131" s="47" t="str">
        <f>IF(OR(Таблица26[[#This Row],[Столбец1]]="",Таблица26[[#This Row],[Столбец5]]=""),"",VLOOKUP(A131,'Р 5. Финансирование'!$A$9:$D$100,4,FALSE))</f>
        <v/>
      </c>
      <c r="I131" s="6" t="str">
        <f>IF(OR(Таблица26[[#This Row],[Столбец5]]="отсутствует",Таблица26[[#This Row],[Столбец5]]=""),"",VLOOKUP(A131,'Р 4. Показатели_индикаторы'!$A$9:$J$103,3,FALSE))</f>
        <v/>
      </c>
      <c r="J131" s="6" t="str">
        <f>IF(OR(Таблица26[[#This Row],[Столбец5]]="отсутствует",Таблица26[[#This Row],[Столбец5]]=""),"",VLOOKUP(A131,'Р 4. Показатели_индикаторы'!$A$9:$J$103,4,FALSE))</f>
        <v/>
      </c>
      <c r="K131" s="6" t="str">
        <f>IF(OR(Таблица26[[#This Row],[Столбец1]]="",Таблица26[[#This Row],[Столбец5]]="",Таблица26[[#This Row],[Столбец5]]="отсутствует"),"",VLOOKUP(A131,'Р 4. Показатели_индикаторы'!$A$9:$J$103,5,FALSE))</f>
        <v/>
      </c>
      <c r="L131" s="6" t="str">
        <f>IF(OR(Таблица26[[#This Row],[Столбец1]]="",Таблица26[[#This Row],[Столбец5]]="",Таблица26[[#This Row],[Столбец5]]="отсутствует"),"",VLOOKUP(A131,'Р 4. Показатели_индикаторы'!$A$9:$J$103,6,FALSE))</f>
        <v/>
      </c>
      <c r="M131" s="6" t="str">
        <f>IF(OR(Таблица26[[#This Row],[Столбец1]]="",Таблица26[[#This Row],[Столбец5]]="",Таблица26[[#This Row],[Столбец5]]="отсутствует"),"",VLOOKUP(A131,'Р 4. Показатели_индикаторы'!$A$9:$J$103,7,FALSE))</f>
        <v/>
      </c>
      <c r="N131" s="6" t="str">
        <f>IF(OR(Таблица26[[#This Row],[Столбец1]]="",Таблица26[[#This Row],[Столбец5]]="",Таблица26[[#This Row],[Столбец5]]="отсутствует"),"",VLOOKUP(A131,'Р 4. Показатели_индикаторы'!$A$9:$J$103,8,FALSE))</f>
        <v/>
      </c>
      <c r="O131" s="10" t="str">
        <f>IF(VLOOKUP(A131,'Р 1. "Общие сведения"'!$I$8:$L$179,4,FALSE)="","",VLOOKUP(A131,'Р 1. "Общие сведения"'!$I$8:$L$179,4,FALSE))</f>
        <v/>
      </c>
    </row>
    <row r="132" spans="1:15" x14ac:dyDescent="0.25">
      <c r="A132" s="48" t="str">
        <f>IF('Р 1. "Общие сведения"'!I132="","",'Р 1. "Общие сведения"'!I132)</f>
        <v xml:space="preserve"> </v>
      </c>
      <c r="B132" s="44" t="str">
        <f>IF('Р 1. "Общие сведения"'!J132="","",'Р 1. "Общие сведения"'!J132)</f>
        <v/>
      </c>
      <c r="C132" s="44" t="str">
        <f>IF('Р 1. "Общие сведения"'!H132="","",'Р 1. "Общие сведения"'!H132)</f>
        <v/>
      </c>
      <c r="D132" s="44" t="str">
        <f>IF('Р 1. "Общие сведения"'!D132="","",'Р 1. "Общие сведения"'!D132)</f>
        <v/>
      </c>
      <c r="E132" s="44" t="str">
        <f>IF('Р 1. "Общие сведения"'!K132="","",'Р 1. "Общие сведения"'!K132)</f>
        <v/>
      </c>
      <c r="F132" s="45" t="str">
        <f>IF(OR(Таблица26[[#This Row],[Столбец1]]="",Таблица26[[#This Row],[Столбец5]]="",),"",VLOOKUP(A132,Таблица9[#All],2,FALSE))</f>
        <v/>
      </c>
      <c r="G132" s="47" t="str">
        <f>IF(OR(Таблица26[[#This Row],[Столбец1]]="",Таблица26[[#This Row],[Столбец5]]=""),"",VLOOKUP(A132,'Р 5. Финансирование'!$A$9:$D$100,3,FALSE))</f>
        <v/>
      </c>
      <c r="H132" s="47" t="str">
        <f>IF(OR(Таблица26[[#This Row],[Столбец1]]="",Таблица26[[#This Row],[Столбец5]]=""),"",VLOOKUP(A132,'Р 5. Финансирование'!$A$9:$D$100,4,FALSE))</f>
        <v/>
      </c>
      <c r="I132" s="6" t="str">
        <f>IF(OR(Таблица26[[#This Row],[Столбец5]]="отсутствует",Таблица26[[#This Row],[Столбец5]]=""),"",VLOOKUP(A132,'Р 4. Показатели_индикаторы'!$A$9:$J$103,3,FALSE))</f>
        <v/>
      </c>
      <c r="J132" s="6" t="str">
        <f>IF(OR(Таблица26[[#This Row],[Столбец5]]="отсутствует",Таблица26[[#This Row],[Столбец5]]=""),"",VLOOKUP(A132,'Р 4. Показатели_индикаторы'!$A$9:$J$103,4,FALSE))</f>
        <v/>
      </c>
      <c r="K132" s="6" t="str">
        <f>IF(OR(Таблица26[[#This Row],[Столбец1]]="",Таблица26[[#This Row],[Столбец5]]="",Таблица26[[#This Row],[Столбец5]]="отсутствует"),"",VLOOKUP(A132,'Р 4. Показатели_индикаторы'!$A$9:$J$103,5,FALSE))</f>
        <v/>
      </c>
      <c r="L132" s="6" t="str">
        <f>IF(OR(Таблица26[[#This Row],[Столбец1]]="",Таблица26[[#This Row],[Столбец5]]="",Таблица26[[#This Row],[Столбец5]]="отсутствует"),"",VLOOKUP(A132,'Р 4. Показатели_индикаторы'!$A$9:$J$103,6,FALSE))</f>
        <v/>
      </c>
      <c r="M132" s="6" t="str">
        <f>IF(OR(Таблица26[[#This Row],[Столбец1]]="",Таблица26[[#This Row],[Столбец5]]="",Таблица26[[#This Row],[Столбец5]]="отсутствует"),"",VLOOKUP(A132,'Р 4. Показатели_индикаторы'!$A$9:$J$103,7,FALSE))</f>
        <v/>
      </c>
      <c r="N132" s="6" t="str">
        <f>IF(OR(Таблица26[[#This Row],[Столбец1]]="",Таблица26[[#This Row],[Столбец5]]="",Таблица26[[#This Row],[Столбец5]]="отсутствует"),"",VLOOKUP(A132,'Р 4. Показатели_индикаторы'!$A$9:$J$103,8,FALSE))</f>
        <v/>
      </c>
      <c r="O132" s="10" t="str">
        <f>IF(VLOOKUP(A132,'Р 1. "Общие сведения"'!$I$8:$L$179,4,FALSE)="","",VLOOKUP(A132,'Р 1. "Общие сведения"'!$I$8:$L$179,4,FALSE))</f>
        <v/>
      </c>
    </row>
    <row r="133" spans="1:15" x14ac:dyDescent="0.25">
      <c r="A133" s="48" t="str">
        <f>IF('Р 1. "Общие сведения"'!I133="","",'Р 1. "Общие сведения"'!I133)</f>
        <v xml:space="preserve"> </v>
      </c>
      <c r="B133" s="44" t="str">
        <f>IF('Р 1. "Общие сведения"'!J133="","",'Р 1. "Общие сведения"'!J133)</f>
        <v/>
      </c>
      <c r="C133" s="44" t="str">
        <f>IF('Р 1. "Общие сведения"'!H133="","",'Р 1. "Общие сведения"'!H133)</f>
        <v/>
      </c>
      <c r="D133" s="44" t="str">
        <f>IF('Р 1. "Общие сведения"'!D133="","",'Р 1. "Общие сведения"'!D133)</f>
        <v/>
      </c>
      <c r="E133" s="44" t="str">
        <f>IF('Р 1. "Общие сведения"'!K133="","",'Р 1. "Общие сведения"'!K133)</f>
        <v/>
      </c>
      <c r="F133" s="45" t="str">
        <f>IF(OR(Таблица26[[#This Row],[Столбец1]]="",Таблица26[[#This Row],[Столбец5]]="",),"",VLOOKUP(A133,Таблица9[#All],2,FALSE))</f>
        <v/>
      </c>
      <c r="G133" s="47" t="str">
        <f>IF(OR(Таблица26[[#This Row],[Столбец1]]="",Таблица26[[#This Row],[Столбец5]]=""),"",VLOOKUP(A133,'Р 5. Финансирование'!$A$9:$D$100,3,FALSE))</f>
        <v/>
      </c>
      <c r="H133" s="47" t="str">
        <f>IF(OR(Таблица26[[#This Row],[Столбец1]]="",Таблица26[[#This Row],[Столбец5]]=""),"",VLOOKUP(A133,'Р 5. Финансирование'!$A$9:$D$100,4,FALSE))</f>
        <v/>
      </c>
      <c r="I133" s="6" t="str">
        <f>IF(OR(Таблица26[[#This Row],[Столбец5]]="отсутствует",Таблица26[[#This Row],[Столбец5]]=""),"",VLOOKUP(A133,'Р 4. Показатели_индикаторы'!$A$9:$J$103,3,FALSE))</f>
        <v/>
      </c>
      <c r="J133" s="6" t="str">
        <f>IF(OR(Таблица26[[#This Row],[Столбец5]]="отсутствует",Таблица26[[#This Row],[Столбец5]]=""),"",VLOOKUP(A133,'Р 4. Показатели_индикаторы'!$A$9:$J$103,4,FALSE))</f>
        <v/>
      </c>
      <c r="K133" s="6" t="str">
        <f>IF(OR(Таблица26[[#This Row],[Столбец1]]="",Таблица26[[#This Row],[Столбец5]]="",Таблица26[[#This Row],[Столбец5]]="отсутствует"),"",VLOOKUP(A133,'Р 4. Показатели_индикаторы'!$A$9:$J$103,5,FALSE))</f>
        <v/>
      </c>
      <c r="L133" s="6" t="str">
        <f>IF(OR(Таблица26[[#This Row],[Столбец1]]="",Таблица26[[#This Row],[Столбец5]]="",Таблица26[[#This Row],[Столбец5]]="отсутствует"),"",VLOOKUP(A133,'Р 4. Показатели_индикаторы'!$A$9:$J$103,6,FALSE))</f>
        <v/>
      </c>
      <c r="M133" s="6" t="str">
        <f>IF(OR(Таблица26[[#This Row],[Столбец1]]="",Таблица26[[#This Row],[Столбец5]]="",Таблица26[[#This Row],[Столбец5]]="отсутствует"),"",VLOOKUP(A133,'Р 4. Показатели_индикаторы'!$A$9:$J$103,7,FALSE))</f>
        <v/>
      </c>
      <c r="N133" s="6" t="str">
        <f>IF(OR(Таблица26[[#This Row],[Столбец1]]="",Таблица26[[#This Row],[Столбец5]]="",Таблица26[[#This Row],[Столбец5]]="отсутствует"),"",VLOOKUP(A133,'Р 4. Показатели_индикаторы'!$A$9:$J$103,8,FALSE))</f>
        <v/>
      </c>
      <c r="O133" s="10" t="str">
        <f>IF(VLOOKUP(A133,'Р 1. "Общие сведения"'!$I$8:$L$179,4,FALSE)="","",VLOOKUP(A133,'Р 1. "Общие сведения"'!$I$8:$L$179,4,FALSE))</f>
        <v/>
      </c>
    </row>
    <row r="134" spans="1:15" x14ac:dyDescent="0.25">
      <c r="A134" s="48" t="str">
        <f>IF('Р 1. "Общие сведения"'!I134="","",'Р 1. "Общие сведения"'!I134)</f>
        <v xml:space="preserve"> </v>
      </c>
      <c r="B134" s="44" t="str">
        <f>IF('Р 1. "Общие сведения"'!J134="","",'Р 1. "Общие сведения"'!J134)</f>
        <v/>
      </c>
      <c r="C134" s="44" t="str">
        <f>IF('Р 1. "Общие сведения"'!H134="","",'Р 1. "Общие сведения"'!H134)</f>
        <v/>
      </c>
      <c r="D134" s="44" t="str">
        <f>IF('Р 1. "Общие сведения"'!D134="","",'Р 1. "Общие сведения"'!D134)</f>
        <v/>
      </c>
      <c r="E134" s="44" t="str">
        <f>IF('Р 1. "Общие сведения"'!K134="","",'Р 1. "Общие сведения"'!K134)</f>
        <v/>
      </c>
      <c r="F134" s="45" t="str">
        <f>IF(OR(Таблица26[[#This Row],[Столбец1]]="",Таблица26[[#This Row],[Столбец5]]="",),"",VLOOKUP(A134,Таблица9[#All],2,FALSE))</f>
        <v/>
      </c>
      <c r="G134" s="47" t="str">
        <f>IF(OR(Таблица26[[#This Row],[Столбец1]]="",Таблица26[[#This Row],[Столбец5]]=""),"",VLOOKUP(A134,'Р 5. Финансирование'!$A$9:$D$100,3,FALSE))</f>
        <v/>
      </c>
      <c r="H134" s="47" t="str">
        <f>IF(OR(Таблица26[[#This Row],[Столбец1]]="",Таблица26[[#This Row],[Столбец5]]=""),"",VLOOKUP(A134,'Р 5. Финансирование'!$A$9:$D$100,4,FALSE))</f>
        <v/>
      </c>
      <c r="I134" s="6" t="str">
        <f>IF(OR(Таблица26[[#This Row],[Столбец5]]="отсутствует",Таблица26[[#This Row],[Столбец5]]=""),"",VLOOKUP(A134,'Р 4. Показатели_индикаторы'!$A$9:$J$103,3,FALSE))</f>
        <v/>
      </c>
      <c r="J134" s="6" t="str">
        <f>IF(OR(Таблица26[[#This Row],[Столбец5]]="отсутствует",Таблица26[[#This Row],[Столбец5]]=""),"",VLOOKUP(A134,'Р 4. Показатели_индикаторы'!$A$9:$J$103,4,FALSE))</f>
        <v/>
      </c>
      <c r="K134" s="6" t="str">
        <f>IF(OR(Таблица26[[#This Row],[Столбец1]]="",Таблица26[[#This Row],[Столбец5]]="",Таблица26[[#This Row],[Столбец5]]="отсутствует"),"",VLOOKUP(A134,'Р 4. Показатели_индикаторы'!$A$9:$J$103,5,FALSE))</f>
        <v/>
      </c>
      <c r="L134" s="6" t="str">
        <f>IF(OR(Таблица26[[#This Row],[Столбец1]]="",Таблица26[[#This Row],[Столбец5]]="",Таблица26[[#This Row],[Столбец5]]="отсутствует"),"",VLOOKUP(A134,'Р 4. Показатели_индикаторы'!$A$9:$J$103,6,FALSE))</f>
        <v/>
      </c>
      <c r="M134" s="6" t="str">
        <f>IF(OR(Таблица26[[#This Row],[Столбец1]]="",Таблица26[[#This Row],[Столбец5]]="",Таблица26[[#This Row],[Столбец5]]="отсутствует"),"",VLOOKUP(A134,'Р 4. Показатели_индикаторы'!$A$9:$J$103,7,FALSE))</f>
        <v/>
      </c>
      <c r="N134" s="6" t="str">
        <f>IF(OR(Таблица26[[#This Row],[Столбец1]]="",Таблица26[[#This Row],[Столбец5]]="",Таблица26[[#This Row],[Столбец5]]="отсутствует"),"",VLOOKUP(A134,'Р 4. Показатели_индикаторы'!$A$9:$J$103,8,FALSE))</f>
        <v/>
      </c>
      <c r="O134" s="10" t="str">
        <f>IF(VLOOKUP(A134,'Р 1. "Общие сведения"'!$I$8:$L$179,4,FALSE)="","",VLOOKUP(A134,'Р 1. "Общие сведения"'!$I$8:$L$179,4,FALSE))</f>
        <v/>
      </c>
    </row>
    <row r="135" spans="1:15" x14ac:dyDescent="0.25">
      <c r="A135" s="48" t="str">
        <f>IF('Р 1. "Общие сведения"'!I135="","",'Р 1. "Общие сведения"'!I135)</f>
        <v xml:space="preserve"> </v>
      </c>
      <c r="B135" s="44" t="str">
        <f>IF('Р 1. "Общие сведения"'!J135="","",'Р 1. "Общие сведения"'!J135)</f>
        <v/>
      </c>
      <c r="C135" s="44" t="str">
        <f>IF('Р 1. "Общие сведения"'!H135="","",'Р 1. "Общие сведения"'!H135)</f>
        <v/>
      </c>
      <c r="D135" s="44" t="str">
        <f>IF('Р 1. "Общие сведения"'!D135="","",'Р 1. "Общие сведения"'!D135)</f>
        <v/>
      </c>
      <c r="E135" s="44" t="str">
        <f>IF('Р 1. "Общие сведения"'!K135="","",'Р 1. "Общие сведения"'!K135)</f>
        <v/>
      </c>
      <c r="F135" s="45" t="str">
        <f>IF(OR(Таблица26[[#This Row],[Столбец1]]="",Таблица26[[#This Row],[Столбец5]]="",),"",VLOOKUP(A135,Таблица9[#All],2,FALSE))</f>
        <v/>
      </c>
      <c r="G135" s="47" t="str">
        <f>IF(OR(Таблица26[[#This Row],[Столбец1]]="",Таблица26[[#This Row],[Столбец5]]=""),"",VLOOKUP(A135,'Р 5. Финансирование'!$A$9:$D$100,3,FALSE))</f>
        <v/>
      </c>
      <c r="H135" s="47" t="str">
        <f>IF(OR(Таблица26[[#This Row],[Столбец1]]="",Таблица26[[#This Row],[Столбец5]]=""),"",VLOOKUP(A135,'Р 5. Финансирование'!$A$9:$D$100,4,FALSE))</f>
        <v/>
      </c>
      <c r="I135" s="6" t="str">
        <f>IF(OR(Таблица26[[#This Row],[Столбец5]]="отсутствует",Таблица26[[#This Row],[Столбец5]]=""),"",VLOOKUP(A135,'Р 4. Показатели_индикаторы'!$A$9:$J$103,3,FALSE))</f>
        <v/>
      </c>
      <c r="J135" s="6" t="str">
        <f>IF(OR(Таблица26[[#This Row],[Столбец5]]="отсутствует",Таблица26[[#This Row],[Столбец5]]=""),"",VLOOKUP(A135,'Р 4. Показатели_индикаторы'!$A$9:$J$103,4,FALSE))</f>
        <v/>
      </c>
      <c r="K135" s="6" t="str">
        <f>IF(OR(Таблица26[[#This Row],[Столбец1]]="",Таблица26[[#This Row],[Столбец5]]="",Таблица26[[#This Row],[Столбец5]]="отсутствует"),"",VLOOKUP(A135,'Р 4. Показатели_индикаторы'!$A$9:$J$103,5,FALSE))</f>
        <v/>
      </c>
      <c r="L135" s="6" t="str">
        <f>IF(OR(Таблица26[[#This Row],[Столбец1]]="",Таблица26[[#This Row],[Столбец5]]="",Таблица26[[#This Row],[Столбец5]]="отсутствует"),"",VLOOKUP(A135,'Р 4. Показатели_индикаторы'!$A$9:$J$103,6,FALSE))</f>
        <v/>
      </c>
      <c r="M135" s="6" t="str">
        <f>IF(OR(Таблица26[[#This Row],[Столбец1]]="",Таблица26[[#This Row],[Столбец5]]="",Таблица26[[#This Row],[Столбец5]]="отсутствует"),"",VLOOKUP(A135,'Р 4. Показатели_индикаторы'!$A$9:$J$103,7,FALSE))</f>
        <v/>
      </c>
      <c r="N135" s="6" t="str">
        <f>IF(OR(Таблица26[[#This Row],[Столбец1]]="",Таблица26[[#This Row],[Столбец5]]="",Таблица26[[#This Row],[Столбец5]]="отсутствует"),"",VLOOKUP(A135,'Р 4. Показатели_индикаторы'!$A$9:$J$103,8,FALSE))</f>
        <v/>
      </c>
      <c r="O135" s="10" t="str">
        <f>IF(VLOOKUP(A135,'Р 1. "Общие сведения"'!$I$8:$L$179,4,FALSE)="","",VLOOKUP(A135,'Р 1. "Общие сведения"'!$I$8:$L$179,4,FALSE))</f>
        <v/>
      </c>
    </row>
    <row r="136" spans="1:15" x14ac:dyDescent="0.25">
      <c r="A136" s="48" t="str">
        <f>IF('Р 1. "Общие сведения"'!I136="","",'Р 1. "Общие сведения"'!I136)</f>
        <v xml:space="preserve"> </v>
      </c>
      <c r="B136" s="44" t="str">
        <f>IF('Р 1. "Общие сведения"'!J136="","",'Р 1. "Общие сведения"'!J136)</f>
        <v/>
      </c>
      <c r="C136" s="44" t="str">
        <f>IF('Р 1. "Общие сведения"'!H136="","",'Р 1. "Общие сведения"'!H136)</f>
        <v/>
      </c>
      <c r="D136" s="44" t="str">
        <f>IF('Р 1. "Общие сведения"'!D136="","",'Р 1. "Общие сведения"'!D136)</f>
        <v/>
      </c>
      <c r="E136" s="44" t="str">
        <f>IF('Р 1. "Общие сведения"'!K136="","",'Р 1. "Общие сведения"'!K136)</f>
        <v/>
      </c>
      <c r="F136" s="45" t="str">
        <f>IF(OR(Таблица26[[#This Row],[Столбец1]]="",Таблица26[[#This Row],[Столбец5]]="",),"",VLOOKUP(A136,Таблица9[#All],2,FALSE))</f>
        <v/>
      </c>
      <c r="G136" s="47" t="str">
        <f>IF(OR(Таблица26[[#This Row],[Столбец1]]="",Таблица26[[#This Row],[Столбец5]]=""),"",VLOOKUP(A136,'Р 5. Финансирование'!$A$9:$D$100,3,FALSE))</f>
        <v/>
      </c>
      <c r="H136" s="47" t="str">
        <f>IF(OR(Таблица26[[#This Row],[Столбец1]]="",Таблица26[[#This Row],[Столбец5]]=""),"",VLOOKUP(A136,'Р 5. Финансирование'!$A$9:$D$100,4,FALSE))</f>
        <v/>
      </c>
      <c r="I136" s="6" t="str">
        <f>IF(OR(Таблица26[[#This Row],[Столбец5]]="отсутствует",Таблица26[[#This Row],[Столбец5]]=""),"",VLOOKUP(A136,'Р 4. Показатели_индикаторы'!$A$9:$J$103,3,FALSE))</f>
        <v/>
      </c>
      <c r="J136" s="6" t="str">
        <f>IF(OR(Таблица26[[#This Row],[Столбец5]]="отсутствует",Таблица26[[#This Row],[Столбец5]]=""),"",VLOOKUP(A136,'Р 4. Показатели_индикаторы'!$A$9:$J$103,4,FALSE))</f>
        <v/>
      </c>
      <c r="K136" s="6" t="str">
        <f>IF(OR(Таблица26[[#This Row],[Столбец1]]="",Таблица26[[#This Row],[Столбец5]]="",Таблица26[[#This Row],[Столбец5]]="отсутствует"),"",VLOOKUP(A136,'Р 4. Показатели_индикаторы'!$A$9:$J$103,5,FALSE))</f>
        <v/>
      </c>
      <c r="L136" s="6" t="str">
        <f>IF(OR(Таблица26[[#This Row],[Столбец1]]="",Таблица26[[#This Row],[Столбец5]]="",Таблица26[[#This Row],[Столбец5]]="отсутствует"),"",VLOOKUP(A136,'Р 4. Показатели_индикаторы'!$A$9:$J$103,6,FALSE))</f>
        <v/>
      </c>
      <c r="M136" s="6" t="str">
        <f>IF(OR(Таблица26[[#This Row],[Столбец1]]="",Таблица26[[#This Row],[Столбец5]]="",Таблица26[[#This Row],[Столбец5]]="отсутствует"),"",VLOOKUP(A136,'Р 4. Показатели_индикаторы'!$A$9:$J$103,7,FALSE))</f>
        <v/>
      </c>
      <c r="N136" s="6" t="str">
        <f>IF(OR(Таблица26[[#This Row],[Столбец1]]="",Таблица26[[#This Row],[Столбец5]]="",Таблица26[[#This Row],[Столбец5]]="отсутствует"),"",VLOOKUP(A136,'Р 4. Показатели_индикаторы'!$A$9:$J$103,8,FALSE))</f>
        <v/>
      </c>
      <c r="O136" s="10" t="str">
        <f>IF(VLOOKUP(A136,'Р 1. "Общие сведения"'!$I$8:$L$179,4,FALSE)="","",VLOOKUP(A136,'Р 1. "Общие сведения"'!$I$8:$L$179,4,FALSE))</f>
        <v/>
      </c>
    </row>
    <row r="137" spans="1:15" x14ac:dyDescent="0.25">
      <c r="A137" s="48" t="str">
        <f>IF('Р 1. "Общие сведения"'!I137="","",'Р 1. "Общие сведения"'!I137)</f>
        <v xml:space="preserve"> </v>
      </c>
      <c r="B137" s="44" t="str">
        <f>IF('Р 1. "Общие сведения"'!J137="","",'Р 1. "Общие сведения"'!J137)</f>
        <v/>
      </c>
      <c r="C137" s="44" t="str">
        <f>IF('Р 1. "Общие сведения"'!H137="","",'Р 1. "Общие сведения"'!H137)</f>
        <v/>
      </c>
      <c r="D137" s="44" t="str">
        <f>IF('Р 1. "Общие сведения"'!D137="","",'Р 1. "Общие сведения"'!D137)</f>
        <v/>
      </c>
      <c r="E137" s="44" t="str">
        <f>IF('Р 1. "Общие сведения"'!K137="","",'Р 1. "Общие сведения"'!K137)</f>
        <v/>
      </c>
      <c r="F137" s="45" t="str">
        <f>IF(OR(Таблица26[[#This Row],[Столбец1]]="",Таблица26[[#This Row],[Столбец5]]="",),"",VLOOKUP(A137,Таблица9[#All],2,FALSE))</f>
        <v/>
      </c>
      <c r="G137" s="47" t="str">
        <f>IF(OR(Таблица26[[#This Row],[Столбец1]]="",Таблица26[[#This Row],[Столбец5]]=""),"",VLOOKUP(A137,'Р 5. Финансирование'!$A$9:$D$100,3,FALSE))</f>
        <v/>
      </c>
      <c r="H137" s="47" t="str">
        <f>IF(OR(Таблица26[[#This Row],[Столбец1]]="",Таблица26[[#This Row],[Столбец5]]=""),"",VLOOKUP(A137,'Р 5. Финансирование'!$A$9:$D$100,4,FALSE))</f>
        <v/>
      </c>
      <c r="I137" s="6" t="str">
        <f>IF(OR(Таблица26[[#This Row],[Столбец5]]="отсутствует",Таблица26[[#This Row],[Столбец5]]=""),"",VLOOKUP(A137,'Р 4. Показатели_индикаторы'!$A$9:$J$103,3,FALSE))</f>
        <v/>
      </c>
      <c r="J137" s="6" t="str">
        <f>IF(OR(Таблица26[[#This Row],[Столбец5]]="отсутствует",Таблица26[[#This Row],[Столбец5]]=""),"",VLOOKUP(A137,'Р 4. Показатели_индикаторы'!$A$9:$J$103,4,FALSE))</f>
        <v/>
      </c>
      <c r="K137" s="6" t="str">
        <f>IF(OR(Таблица26[[#This Row],[Столбец1]]="",Таблица26[[#This Row],[Столбец5]]="",Таблица26[[#This Row],[Столбец5]]="отсутствует"),"",VLOOKUP(A137,'Р 4. Показатели_индикаторы'!$A$9:$J$103,5,FALSE))</f>
        <v/>
      </c>
      <c r="L137" s="6" t="str">
        <f>IF(OR(Таблица26[[#This Row],[Столбец1]]="",Таблица26[[#This Row],[Столбец5]]="",Таблица26[[#This Row],[Столбец5]]="отсутствует"),"",VLOOKUP(A137,'Р 4. Показатели_индикаторы'!$A$9:$J$103,6,FALSE))</f>
        <v/>
      </c>
      <c r="M137" s="6" t="str">
        <f>IF(OR(Таблица26[[#This Row],[Столбец1]]="",Таблица26[[#This Row],[Столбец5]]="",Таблица26[[#This Row],[Столбец5]]="отсутствует"),"",VLOOKUP(A137,'Р 4. Показатели_индикаторы'!$A$9:$J$103,7,FALSE))</f>
        <v/>
      </c>
      <c r="N137" s="6" t="str">
        <f>IF(OR(Таблица26[[#This Row],[Столбец1]]="",Таблица26[[#This Row],[Столбец5]]="",Таблица26[[#This Row],[Столбец5]]="отсутствует"),"",VLOOKUP(A137,'Р 4. Показатели_индикаторы'!$A$9:$J$103,8,FALSE))</f>
        <v/>
      </c>
      <c r="O137" s="10" t="str">
        <f>IF(VLOOKUP(A137,'Р 1. "Общие сведения"'!$I$8:$L$179,4,FALSE)="","",VLOOKUP(A137,'Р 1. "Общие сведения"'!$I$8:$L$179,4,FALSE))</f>
        <v/>
      </c>
    </row>
    <row r="138" spans="1:15" x14ac:dyDescent="0.25">
      <c r="A138" s="48" t="str">
        <f>IF('Р 1. "Общие сведения"'!I138="","",'Р 1. "Общие сведения"'!I138)</f>
        <v xml:space="preserve"> </v>
      </c>
      <c r="B138" s="44" t="str">
        <f>IF('Р 1. "Общие сведения"'!J138="","",'Р 1. "Общие сведения"'!J138)</f>
        <v/>
      </c>
      <c r="C138" s="44" t="str">
        <f>IF('Р 1. "Общие сведения"'!H138="","",'Р 1. "Общие сведения"'!H138)</f>
        <v/>
      </c>
      <c r="D138" s="44" t="str">
        <f>IF('Р 1. "Общие сведения"'!D138="","",'Р 1. "Общие сведения"'!D138)</f>
        <v/>
      </c>
      <c r="E138" s="44" t="str">
        <f>IF('Р 1. "Общие сведения"'!K138="","",'Р 1. "Общие сведения"'!K138)</f>
        <v/>
      </c>
      <c r="F138" s="45" t="str">
        <f>IF(OR(Таблица26[[#This Row],[Столбец1]]="",Таблица26[[#This Row],[Столбец5]]="",),"",VLOOKUP(A138,Таблица9[#All],2,FALSE))</f>
        <v/>
      </c>
      <c r="G138" s="47" t="str">
        <f>IF(OR(Таблица26[[#This Row],[Столбец1]]="",Таблица26[[#This Row],[Столбец5]]=""),"",VLOOKUP(A138,'Р 5. Финансирование'!$A$9:$D$100,3,FALSE))</f>
        <v/>
      </c>
      <c r="H138" s="47" t="str">
        <f>IF(OR(Таблица26[[#This Row],[Столбец1]]="",Таблица26[[#This Row],[Столбец5]]=""),"",VLOOKUP(A138,'Р 5. Финансирование'!$A$9:$D$100,4,FALSE))</f>
        <v/>
      </c>
      <c r="I138" s="6" t="str">
        <f>IF(OR(Таблица26[[#This Row],[Столбец5]]="отсутствует",Таблица26[[#This Row],[Столбец5]]=""),"",VLOOKUP(A138,'Р 4. Показатели_индикаторы'!$A$9:$J$103,3,FALSE))</f>
        <v/>
      </c>
      <c r="J138" s="6" t="str">
        <f>IF(OR(Таблица26[[#This Row],[Столбец5]]="отсутствует",Таблица26[[#This Row],[Столбец5]]=""),"",VLOOKUP(A138,'Р 4. Показатели_индикаторы'!$A$9:$J$103,4,FALSE))</f>
        <v/>
      </c>
      <c r="K138" s="6" t="str">
        <f>IF(OR(Таблица26[[#This Row],[Столбец1]]="",Таблица26[[#This Row],[Столбец5]]="",Таблица26[[#This Row],[Столбец5]]="отсутствует"),"",VLOOKUP(A138,'Р 4. Показатели_индикаторы'!$A$9:$J$103,5,FALSE))</f>
        <v/>
      </c>
      <c r="L138" s="6" t="str">
        <f>IF(OR(Таблица26[[#This Row],[Столбец1]]="",Таблица26[[#This Row],[Столбец5]]="",Таблица26[[#This Row],[Столбец5]]="отсутствует"),"",VLOOKUP(A138,'Р 4. Показатели_индикаторы'!$A$9:$J$103,6,FALSE))</f>
        <v/>
      </c>
      <c r="M138" s="6" t="str">
        <f>IF(OR(Таблица26[[#This Row],[Столбец1]]="",Таблица26[[#This Row],[Столбец5]]="",Таблица26[[#This Row],[Столбец5]]="отсутствует"),"",VLOOKUP(A138,'Р 4. Показатели_индикаторы'!$A$9:$J$103,7,FALSE))</f>
        <v/>
      </c>
      <c r="N138" s="6" t="str">
        <f>IF(OR(Таблица26[[#This Row],[Столбец1]]="",Таблица26[[#This Row],[Столбец5]]="",Таблица26[[#This Row],[Столбец5]]="отсутствует"),"",VLOOKUP(A138,'Р 4. Показатели_индикаторы'!$A$9:$J$103,8,FALSE))</f>
        <v/>
      </c>
      <c r="O138" s="10" t="str">
        <f>IF(VLOOKUP(A138,'Р 1. "Общие сведения"'!$I$8:$L$179,4,FALSE)="","",VLOOKUP(A138,'Р 1. "Общие сведения"'!$I$8:$L$179,4,FALSE))</f>
        <v/>
      </c>
    </row>
    <row r="139" spans="1:15" x14ac:dyDescent="0.25">
      <c r="A139" s="48" t="str">
        <f>IF('Р 1. "Общие сведения"'!I139="","",'Р 1. "Общие сведения"'!I139)</f>
        <v xml:space="preserve"> </v>
      </c>
      <c r="B139" s="44" t="str">
        <f>IF('Р 1. "Общие сведения"'!J139="","",'Р 1. "Общие сведения"'!J139)</f>
        <v/>
      </c>
      <c r="C139" s="44" t="str">
        <f>IF('Р 1. "Общие сведения"'!H139="","",'Р 1. "Общие сведения"'!H139)</f>
        <v/>
      </c>
      <c r="D139" s="44" t="str">
        <f>IF('Р 1. "Общие сведения"'!D139="","",'Р 1. "Общие сведения"'!D139)</f>
        <v/>
      </c>
      <c r="E139" s="44" t="str">
        <f>IF('Р 1. "Общие сведения"'!K139="","",'Р 1. "Общие сведения"'!K139)</f>
        <v/>
      </c>
      <c r="F139" s="45" t="str">
        <f>IF(OR(Таблица26[[#This Row],[Столбец1]]="",Таблица26[[#This Row],[Столбец5]]="",),"",VLOOKUP(A139,Таблица9[#All],2,FALSE))</f>
        <v/>
      </c>
      <c r="G139" s="47" t="str">
        <f>IF(OR(Таблица26[[#This Row],[Столбец1]]="",Таблица26[[#This Row],[Столбец5]]=""),"",VLOOKUP(A139,'Р 5. Финансирование'!$A$9:$D$100,3,FALSE))</f>
        <v/>
      </c>
      <c r="H139" s="47" t="str">
        <f>IF(OR(Таблица26[[#This Row],[Столбец1]]="",Таблица26[[#This Row],[Столбец5]]=""),"",VLOOKUP(A139,'Р 5. Финансирование'!$A$9:$D$100,4,FALSE))</f>
        <v/>
      </c>
      <c r="I139" s="6" t="str">
        <f>IF(OR(Таблица26[[#This Row],[Столбец5]]="отсутствует",Таблица26[[#This Row],[Столбец5]]=""),"",VLOOKUP(A139,'Р 4. Показатели_индикаторы'!$A$9:$J$103,3,FALSE))</f>
        <v/>
      </c>
      <c r="J139" s="6" t="str">
        <f>IF(OR(Таблица26[[#This Row],[Столбец5]]="отсутствует",Таблица26[[#This Row],[Столбец5]]=""),"",VLOOKUP(A139,'Р 4. Показатели_индикаторы'!$A$9:$J$103,4,FALSE))</f>
        <v/>
      </c>
      <c r="K139" s="6" t="str">
        <f>IF(OR(Таблица26[[#This Row],[Столбец1]]="",Таблица26[[#This Row],[Столбец5]]="",Таблица26[[#This Row],[Столбец5]]="отсутствует"),"",VLOOKUP(A139,'Р 4. Показатели_индикаторы'!$A$9:$J$103,5,FALSE))</f>
        <v/>
      </c>
      <c r="L139" s="6" t="str">
        <f>IF(OR(Таблица26[[#This Row],[Столбец1]]="",Таблица26[[#This Row],[Столбец5]]="",Таблица26[[#This Row],[Столбец5]]="отсутствует"),"",VLOOKUP(A139,'Р 4. Показатели_индикаторы'!$A$9:$J$103,6,FALSE))</f>
        <v/>
      </c>
      <c r="M139" s="6" t="str">
        <f>IF(OR(Таблица26[[#This Row],[Столбец1]]="",Таблица26[[#This Row],[Столбец5]]="",Таблица26[[#This Row],[Столбец5]]="отсутствует"),"",VLOOKUP(A139,'Р 4. Показатели_индикаторы'!$A$9:$J$103,7,FALSE))</f>
        <v/>
      </c>
      <c r="N139" s="6" t="str">
        <f>IF(OR(Таблица26[[#This Row],[Столбец1]]="",Таблица26[[#This Row],[Столбец5]]="",Таблица26[[#This Row],[Столбец5]]="отсутствует"),"",VLOOKUP(A139,'Р 4. Показатели_индикаторы'!$A$9:$J$103,8,FALSE))</f>
        <v/>
      </c>
      <c r="O139" s="10" t="str">
        <f>IF(VLOOKUP(A139,'Р 1. "Общие сведения"'!$I$8:$L$179,4,FALSE)="","",VLOOKUP(A139,'Р 1. "Общие сведения"'!$I$8:$L$179,4,FALSE))</f>
        <v/>
      </c>
    </row>
    <row r="140" spans="1:15" x14ac:dyDescent="0.25">
      <c r="A140" s="48" t="str">
        <f>IF('Р 1. "Общие сведения"'!I140="","",'Р 1. "Общие сведения"'!I140)</f>
        <v xml:space="preserve"> </v>
      </c>
      <c r="B140" s="44" t="str">
        <f>IF('Р 1. "Общие сведения"'!J140="","",'Р 1. "Общие сведения"'!J140)</f>
        <v/>
      </c>
      <c r="C140" s="44" t="str">
        <f>IF('Р 1. "Общие сведения"'!H140="","",'Р 1. "Общие сведения"'!H140)</f>
        <v/>
      </c>
      <c r="D140" s="44" t="str">
        <f>IF('Р 1. "Общие сведения"'!D140="","",'Р 1. "Общие сведения"'!D140)</f>
        <v/>
      </c>
      <c r="E140" s="44" t="str">
        <f>IF('Р 1. "Общие сведения"'!K140="","",'Р 1. "Общие сведения"'!K140)</f>
        <v/>
      </c>
      <c r="F140" s="45" t="str">
        <f>IF(OR(Таблица26[[#This Row],[Столбец1]]="",Таблица26[[#This Row],[Столбец5]]="",),"",VLOOKUP(A140,Таблица9[#All],2,FALSE))</f>
        <v/>
      </c>
      <c r="G140" s="47" t="str">
        <f>IF(OR(Таблица26[[#This Row],[Столбец1]]="",Таблица26[[#This Row],[Столбец5]]=""),"",VLOOKUP(A140,'Р 5. Финансирование'!$A$9:$D$100,3,FALSE))</f>
        <v/>
      </c>
      <c r="H140" s="47" t="str">
        <f>IF(OR(Таблица26[[#This Row],[Столбец1]]="",Таблица26[[#This Row],[Столбец5]]=""),"",VLOOKUP(A140,'Р 5. Финансирование'!$A$9:$D$100,4,FALSE))</f>
        <v/>
      </c>
      <c r="I140" s="6" t="str">
        <f>IF(OR(Таблица26[[#This Row],[Столбец5]]="отсутствует",Таблица26[[#This Row],[Столбец5]]=""),"",VLOOKUP(A140,'Р 4. Показатели_индикаторы'!$A$9:$J$103,3,FALSE))</f>
        <v/>
      </c>
      <c r="J140" s="6" t="str">
        <f>IF(OR(Таблица26[[#This Row],[Столбец5]]="отсутствует",Таблица26[[#This Row],[Столбец5]]=""),"",VLOOKUP(A140,'Р 4. Показатели_индикаторы'!$A$9:$J$103,4,FALSE))</f>
        <v/>
      </c>
      <c r="K140" s="6" t="str">
        <f>IF(OR(Таблица26[[#This Row],[Столбец1]]="",Таблица26[[#This Row],[Столбец5]]="",Таблица26[[#This Row],[Столбец5]]="отсутствует"),"",VLOOKUP(A140,'Р 4. Показатели_индикаторы'!$A$9:$J$103,5,FALSE))</f>
        <v/>
      </c>
      <c r="L140" s="6" t="str">
        <f>IF(OR(Таблица26[[#This Row],[Столбец1]]="",Таблица26[[#This Row],[Столбец5]]="",Таблица26[[#This Row],[Столбец5]]="отсутствует"),"",VLOOKUP(A140,'Р 4. Показатели_индикаторы'!$A$9:$J$103,6,FALSE))</f>
        <v/>
      </c>
      <c r="M140" s="6" t="str">
        <f>IF(OR(Таблица26[[#This Row],[Столбец1]]="",Таблица26[[#This Row],[Столбец5]]="",Таблица26[[#This Row],[Столбец5]]="отсутствует"),"",VLOOKUP(A140,'Р 4. Показатели_индикаторы'!$A$9:$J$103,7,FALSE))</f>
        <v/>
      </c>
      <c r="N140" s="6" t="str">
        <f>IF(OR(Таблица26[[#This Row],[Столбец1]]="",Таблица26[[#This Row],[Столбец5]]="",Таблица26[[#This Row],[Столбец5]]="отсутствует"),"",VLOOKUP(A140,'Р 4. Показатели_индикаторы'!$A$9:$J$103,8,FALSE))</f>
        <v/>
      </c>
      <c r="O140" s="10" t="str">
        <f>IF(VLOOKUP(A140,'Р 1. "Общие сведения"'!$I$8:$L$179,4,FALSE)="","",VLOOKUP(A140,'Р 1. "Общие сведения"'!$I$8:$L$179,4,FALSE))</f>
        <v/>
      </c>
    </row>
    <row r="141" spans="1:15" x14ac:dyDescent="0.25">
      <c r="A141" s="48" t="str">
        <f>IF('Р 1. "Общие сведения"'!I141="","",'Р 1. "Общие сведения"'!I141)</f>
        <v xml:space="preserve"> </v>
      </c>
      <c r="B141" s="44" t="str">
        <f>IF('Р 1. "Общие сведения"'!J141="","",'Р 1. "Общие сведения"'!J141)</f>
        <v/>
      </c>
      <c r="C141" s="44" t="str">
        <f>IF('Р 1. "Общие сведения"'!H141="","",'Р 1. "Общие сведения"'!H141)</f>
        <v/>
      </c>
      <c r="D141" s="44" t="str">
        <f>IF('Р 1. "Общие сведения"'!D141="","",'Р 1. "Общие сведения"'!D141)</f>
        <v/>
      </c>
      <c r="E141" s="44" t="str">
        <f>IF('Р 1. "Общие сведения"'!K141="","",'Р 1. "Общие сведения"'!K141)</f>
        <v/>
      </c>
      <c r="F141" s="45" t="str">
        <f>IF(OR(Таблица26[[#This Row],[Столбец1]]="",Таблица26[[#This Row],[Столбец5]]="",),"",VLOOKUP(A141,Таблица9[#All],2,FALSE))</f>
        <v/>
      </c>
      <c r="G141" s="47" t="str">
        <f>IF(OR(Таблица26[[#This Row],[Столбец1]]="",Таблица26[[#This Row],[Столбец5]]=""),"",VLOOKUP(A141,'Р 5. Финансирование'!$A$9:$D$100,3,FALSE))</f>
        <v/>
      </c>
      <c r="H141" s="47" t="str">
        <f>IF(OR(Таблица26[[#This Row],[Столбец1]]="",Таблица26[[#This Row],[Столбец5]]=""),"",VLOOKUP(A141,'Р 5. Финансирование'!$A$9:$D$100,4,FALSE))</f>
        <v/>
      </c>
      <c r="I141" s="6" t="str">
        <f>IF(OR(Таблица26[[#This Row],[Столбец5]]="отсутствует",Таблица26[[#This Row],[Столбец5]]=""),"",VLOOKUP(A141,'Р 4. Показатели_индикаторы'!$A$9:$J$103,3,FALSE))</f>
        <v/>
      </c>
      <c r="J141" s="6" t="str">
        <f>IF(OR(Таблица26[[#This Row],[Столбец5]]="отсутствует",Таблица26[[#This Row],[Столбец5]]=""),"",VLOOKUP(A141,'Р 4. Показатели_индикаторы'!$A$9:$J$103,4,FALSE))</f>
        <v/>
      </c>
      <c r="K141" s="6" t="str">
        <f>IF(OR(Таблица26[[#This Row],[Столбец1]]="",Таблица26[[#This Row],[Столбец5]]="",Таблица26[[#This Row],[Столбец5]]="отсутствует"),"",VLOOKUP(A141,'Р 4. Показатели_индикаторы'!$A$9:$J$103,5,FALSE))</f>
        <v/>
      </c>
      <c r="L141" s="6" t="str">
        <f>IF(OR(Таблица26[[#This Row],[Столбец1]]="",Таблица26[[#This Row],[Столбец5]]="",Таблица26[[#This Row],[Столбец5]]="отсутствует"),"",VLOOKUP(A141,'Р 4. Показатели_индикаторы'!$A$9:$J$103,6,FALSE))</f>
        <v/>
      </c>
      <c r="M141" s="6" t="str">
        <f>IF(OR(Таблица26[[#This Row],[Столбец1]]="",Таблица26[[#This Row],[Столбец5]]="",Таблица26[[#This Row],[Столбец5]]="отсутствует"),"",VLOOKUP(A141,'Р 4. Показатели_индикаторы'!$A$9:$J$103,7,FALSE))</f>
        <v/>
      </c>
      <c r="N141" s="6" t="str">
        <f>IF(OR(Таблица26[[#This Row],[Столбец1]]="",Таблица26[[#This Row],[Столбец5]]="",Таблица26[[#This Row],[Столбец5]]="отсутствует"),"",VLOOKUP(A141,'Р 4. Показатели_индикаторы'!$A$9:$J$103,8,FALSE))</f>
        <v/>
      </c>
      <c r="O141" s="10" t="str">
        <f>IF(VLOOKUP(A141,'Р 1. "Общие сведения"'!$I$8:$L$179,4,FALSE)="","",VLOOKUP(A141,'Р 1. "Общие сведения"'!$I$8:$L$179,4,FALSE))</f>
        <v/>
      </c>
    </row>
    <row r="142" spans="1:15" x14ac:dyDescent="0.25">
      <c r="A142" s="48" t="str">
        <f>IF('Р 1. "Общие сведения"'!I142="","",'Р 1. "Общие сведения"'!I142)</f>
        <v xml:space="preserve"> </v>
      </c>
      <c r="B142" s="44" t="str">
        <f>IF('Р 1. "Общие сведения"'!J142="","",'Р 1. "Общие сведения"'!J142)</f>
        <v/>
      </c>
      <c r="C142" s="44" t="str">
        <f>IF('Р 1. "Общие сведения"'!H142="","",'Р 1. "Общие сведения"'!H142)</f>
        <v/>
      </c>
      <c r="D142" s="44" t="str">
        <f>IF('Р 1. "Общие сведения"'!D142="","",'Р 1. "Общие сведения"'!D142)</f>
        <v/>
      </c>
      <c r="E142" s="44" t="str">
        <f>IF('Р 1. "Общие сведения"'!K142="","",'Р 1. "Общие сведения"'!K142)</f>
        <v/>
      </c>
      <c r="F142" s="45" t="str">
        <f>IF(OR(Таблица26[[#This Row],[Столбец1]]="",Таблица26[[#This Row],[Столбец5]]="",),"",VLOOKUP(A142,Таблица9[#All],2,FALSE))</f>
        <v/>
      </c>
      <c r="G142" s="47" t="str">
        <f>IF(OR(Таблица26[[#This Row],[Столбец1]]="",Таблица26[[#This Row],[Столбец5]]=""),"",VLOOKUP(A142,'Р 5. Финансирование'!$A$9:$D$100,3,FALSE))</f>
        <v/>
      </c>
      <c r="H142" s="47" t="str">
        <f>IF(OR(Таблица26[[#This Row],[Столбец1]]="",Таблица26[[#This Row],[Столбец5]]=""),"",VLOOKUP(A142,'Р 5. Финансирование'!$A$9:$D$100,4,FALSE))</f>
        <v/>
      </c>
      <c r="I142" s="6" t="str">
        <f>IF(OR(Таблица26[[#This Row],[Столбец5]]="отсутствует",Таблица26[[#This Row],[Столбец5]]=""),"",VLOOKUP(A142,'Р 4. Показатели_индикаторы'!$A$9:$J$103,3,FALSE))</f>
        <v/>
      </c>
      <c r="J142" s="6" t="str">
        <f>IF(OR(Таблица26[[#This Row],[Столбец5]]="отсутствует",Таблица26[[#This Row],[Столбец5]]=""),"",VLOOKUP(A142,'Р 4. Показатели_индикаторы'!$A$9:$J$103,4,FALSE))</f>
        <v/>
      </c>
      <c r="K142" s="6" t="str">
        <f>IF(OR(Таблица26[[#This Row],[Столбец1]]="",Таблица26[[#This Row],[Столбец5]]="",Таблица26[[#This Row],[Столбец5]]="отсутствует"),"",VLOOKUP(A142,'Р 4. Показатели_индикаторы'!$A$9:$J$103,5,FALSE))</f>
        <v/>
      </c>
      <c r="L142" s="6" t="str">
        <f>IF(OR(Таблица26[[#This Row],[Столбец1]]="",Таблица26[[#This Row],[Столбец5]]="",Таблица26[[#This Row],[Столбец5]]="отсутствует"),"",VLOOKUP(A142,'Р 4. Показатели_индикаторы'!$A$9:$J$103,6,FALSE))</f>
        <v/>
      </c>
      <c r="M142" s="6" t="str">
        <f>IF(OR(Таблица26[[#This Row],[Столбец1]]="",Таблица26[[#This Row],[Столбец5]]="",Таблица26[[#This Row],[Столбец5]]="отсутствует"),"",VLOOKUP(A142,'Р 4. Показатели_индикаторы'!$A$9:$J$103,7,FALSE))</f>
        <v/>
      </c>
      <c r="N142" s="6" t="str">
        <f>IF(OR(Таблица26[[#This Row],[Столбец1]]="",Таблица26[[#This Row],[Столбец5]]="",Таблица26[[#This Row],[Столбец5]]="отсутствует"),"",VLOOKUP(A142,'Р 4. Показатели_индикаторы'!$A$9:$J$103,8,FALSE))</f>
        <v/>
      </c>
      <c r="O142" s="10" t="str">
        <f>IF(VLOOKUP(A142,'Р 1. "Общие сведения"'!$I$8:$L$179,4,FALSE)="","",VLOOKUP(A142,'Р 1. "Общие сведения"'!$I$8:$L$179,4,FALSE))</f>
        <v/>
      </c>
    </row>
    <row r="143" spans="1:15" x14ac:dyDescent="0.25">
      <c r="A143" s="48" t="str">
        <f>IF('Р 1. "Общие сведения"'!I143="","",'Р 1. "Общие сведения"'!I143)</f>
        <v xml:space="preserve"> </v>
      </c>
      <c r="B143" s="44" t="str">
        <f>IF('Р 1. "Общие сведения"'!J143="","",'Р 1. "Общие сведения"'!J143)</f>
        <v/>
      </c>
      <c r="C143" s="44" t="str">
        <f>IF('Р 1. "Общие сведения"'!H143="","",'Р 1. "Общие сведения"'!H143)</f>
        <v/>
      </c>
      <c r="D143" s="44" t="str">
        <f>IF('Р 1. "Общие сведения"'!D143="","",'Р 1. "Общие сведения"'!D143)</f>
        <v/>
      </c>
      <c r="E143" s="44" t="str">
        <f>IF('Р 1. "Общие сведения"'!K143="","",'Р 1. "Общие сведения"'!K143)</f>
        <v/>
      </c>
      <c r="F143" s="45" t="str">
        <f>IF(OR(Таблица26[[#This Row],[Столбец1]]="",Таблица26[[#This Row],[Столбец5]]="",),"",VLOOKUP(A143,Таблица9[#All],2,FALSE))</f>
        <v/>
      </c>
      <c r="G143" s="47" t="str">
        <f>IF(OR(Таблица26[[#This Row],[Столбец1]]="",Таблица26[[#This Row],[Столбец5]]=""),"",VLOOKUP(A143,'Р 5. Финансирование'!$A$9:$D$100,3,FALSE))</f>
        <v/>
      </c>
      <c r="H143" s="47" t="str">
        <f>IF(OR(Таблица26[[#This Row],[Столбец1]]="",Таблица26[[#This Row],[Столбец5]]=""),"",VLOOKUP(A143,'Р 5. Финансирование'!$A$9:$D$100,4,FALSE))</f>
        <v/>
      </c>
      <c r="I143" s="6" t="str">
        <f>IF(OR(Таблица26[[#This Row],[Столбец5]]="отсутствует",Таблица26[[#This Row],[Столбец5]]=""),"",VLOOKUP(A143,'Р 4. Показатели_индикаторы'!$A$9:$J$103,3,FALSE))</f>
        <v/>
      </c>
      <c r="J143" s="6" t="str">
        <f>IF(OR(Таблица26[[#This Row],[Столбец5]]="отсутствует",Таблица26[[#This Row],[Столбец5]]=""),"",VLOOKUP(A143,'Р 4. Показатели_индикаторы'!$A$9:$J$103,4,FALSE))</f>
        <v/>
      </c>
      <c r="K143" s="6" t="str">
        <f>IF(OR(Таблица26[[#This Row],[Столбец1]]="",Таблица26[[#This Row],[Столбец5]]="",Таблица26[[#This Row],[Столбец5]]="отсутствует"),"",VLOOKUP(A143,'Р 4. Показатели_индикаторы'!$A$9:$J$103,5,FALSE))</f>
        <v/>
      </c>
      <c r="L143" s="6" t="str">
        <f>IF(OR(Таблица26[[#This Row],[Столбец1]]="",Таблица26[[#This Row],[Столбец5]]="",Таблица26[[#This Row],[Столбец5]]="отсутствует"),"",VLOOKUP(A143,'Р 4. Показатели_индикаторы'!$A$9:$J$103,6,FALSE))</f>
        <v/>
      </c>
      <c r="M143" s="6" t="str">
        <f>IF(OR(Таблица26[[#This Row],[Столбец1]]="",Таблица26[[#This Row],[Столбец5]]="",Таблица26[[#This Row],[Столбец5]]="отсутствует"),"",VLOOKUP(A143,'Р 4. Показатели_индикаторы'!$A$9:$J$103,7,FALSE))</f>
        <v/>
      </c>
      <c r="N143" s="6" t="str">
        <f>IF(OR(Таблица26[[#This Row],[Столбец1]]="",Таблица26[[#This Row],[Столбец5]]="",Таблица26[[#This Row],[Столбец5]]="отсутствует"),"",VLOOKUP(A143,'Р 4. Показатели_индикаторы'!$A$9:$J$103,8,FALSE))</f>
        <v/>
      </c>
      <c r="O143" s="10" t="str">
        <f>IF(VLOOKUP(A143,'Р 1. "Общие сведения"'!$I$8:$L$179,4,FALSE)="","",VLOOKUP(A143,'Р 1. "Общие сведения"'!$I$8:$L$179,4,FALSE))</f>
        <v/>
      </c>
    </row>
    <row r="144" spans="1:15" x14ac:dyDescent="0.25">
      <c r="A144" s="48" t="str">
        <f>IF('Р 1. "Общие сведения"'!I144="","",'Р 1. "Общие сведения"'!I144)</f>
        <v xml:space="preserve"> </v>
      </c>
      <c r="B144" s="44" t="str">
        <f>IF('Р 1. "Общие сведения"'!J144="","",'Р 1. "Общие сведения"'!J144)</f>
        <v/>
      </c>
      <c r="C144" s="44" t="str">
        <f>IF('Р 1. "Общие сведения"'!H144="","",'Р 1. "Общие сведения"'!H144)</f>
        <v/>
      </c>
      <c r="D144" s="44" t="str">
        <f>IF('Р 1. "Общие сведения"'!D144="","",'Р 1. "Общие сведения"'!D144)</f>
        <v/>
      </c>
      <c r="E144" s="44" t="str">
        <f>IF('Р 1. "Общие сведения"'!K144="","",'Р 1. "Общие сведения"'!K144)</f>
        <v/>
      </c>
      <c r="F144" s="45" t="str">
        <f>IF(OR(Таблица26[[#This Row],[Столбец1]]="",Таблица26[[#This Row],[Столбец5]]="",),"",VLOOKUP(A144,Таблица9[#All],2,FALSE))</f>
        <v/>
      </c>
      <c r="G144" s="47" t="str">
        <f>IF(OR(Таблица26[[#This Row],[Столбец1]]="",Таблица26[[#This Row],[Столбец5]]=""),"",VLOOKUP(A144,'Р 5. Финансирование'!$A$9:$D$100,3,FALSE))</f>
        <v/>
      </c>
      <c r="H144" s="47" t="str">
        <f>IF(OR(Таблица26[[#This Row],[Столбец1]]="",Таблица26[[#This Row],[Столбец5]]=""),"",VLOOKUP(A144,'Р 5. Финансирование'!$A$9:$D$100,4,FALSE))</f>
        <v/>
      </c>
      <c r="I144" s="6" t="str">
        <f>IF(OR(Таблица26[[#This Row],[Столбец5]]="отсутствует",Таблица26[[#This Row],[Столбец5]]=""),"",VLOOKUP(A144,'Р 4. Показатели_индикаторы'!$A$9:$J$103,3,FALSE))</f>
        <v/>
      </c>
      <c r="J144" s="6" t="str">
        <f>IF(OR(Таблица26[[#This Row],[Столбец5]]="отсутствует",Таблица26[[#This Row],[Столбец5]]=""),"",VLOOKUP(A144,'Р 4. Показатели_индикаторы'!$A$9:$J$103,4,FALSE))</f>
        <v/>
      </c>
      <c r="K144" s="6" t="str">
        <f>IF(OR(Таблица26[[#This Row],[Столбец1]]="",Таблица26[[#This Row],[Столбец5]]="",Таблица26[[#This Row],[Столбец5]]="отсутствует"),"",VLOOKUP(A144,'Р 4. Показатели_индикаторы'!$A$9:$J$103,5,FALSE))</f>
        <v/>
      </c>
      <c r="L144" s="6" t="str">
        <f>IF(OR(Таблица26[[#This Row],[Столбец1]]="",Таблица26[[#This Row],[Столбец5]]="",Таблица26[[#This Row],[Столбец5]]="отсутствует"),"",VLOOKUP(A144,'Р 4. Показатели_индикаторы'!$A$9:$J$103,6,FALSE))</f>
        <v/>
      </c>
      <c r="M144" s="6" t="str">
        <f>IF(OR(Таблица26[[#This Row],[Столбец1]]="",Таблица26[[#This Row],[Столбец5]]="",Таблица26[[#This Row],[Столбец5]]="отсутствует"),"",VLOOKUP(A144,'Р 4. Показатели_индикаторы'!$A$9:$J$103,7,FALSE))</f>
        <v/>
      </c>
      <c r="N144" s="6" t="str">
        <f>IF(OR(Таблица26[[#This Row],[Столбец1]]="",Таблица26[[#This Row],[Столбец5]]="",Таблица26[[#This Row],[Столбец5]]="отсутствует"),"",VLOOKUP(A144,'Р 4. Показатели_индикаторы'!$A$9:$J$103,8,FALSE))</f>
        <v/>
      </c>
      <c r="O144" s="10" t="str">
        <f>IF(VLOOKUP(A144,'Р 1. "Общие сведения"'!$I$8:$L$179,4,FALSE)="","",VLOOKUP(A144,'Р 1. "Общие сведения"'!$I$8:$L$179,4,FALSE))</f>
        <v/>
      </c>
    </row>
    <row r="145" spans="1:15" x14ac:dyDescent="0.25">
      <c r="A145" s="48" t="str">
        <f>IF('Р 1. "Общие сведения"'!I145="","",'Р 1. "Общие сведения"'!I145)</f>
        <v xml:space="preserve"> </v>
      </c>
      <c r="B145" s="44" t="str">
        <f>IF('Р 1. "Общие сведения"'!J145="","",'Р 1. "Общие сведения"'!J145)</f>
        <v/>
      </c>
      <c r="C145" s="44" t="str">
        <f>IF('Р 1. "Общие сведения"'!H145="","",'Р 1. "Общие сведения"'!H145)</f>
        <v/>
      </c>
      <c r="D145" s="44" t="str">
        <f>IF('Р 1. "Общие сведения"'!D145="","",'Р 1. "Общие сведения"'!D145)</f>
        <v/>
      </c>
      <c r="E145" s="44" t="str">
        <f>IF('Р 1. "Общие сведения"'!K145="","",'Р 1. "Общие сведения"'!K145)</f>
        <v/>
      </c>
      <c r="F145" s="45" t="str">
        <f>IF(OR(Таблица26[[#This Row],[Столбец1]]="",Таблица26[[#This Row],[Столбец5]]="",),"",VLOOKUP(A145,Таблица9[#All],2,FALSE))</f>
        <v/>
      </c>
      <c r="G145" s="47" t="str">
        <f>IF(OR(Таблица26[[#This Row],[Столбец1]]="",Таблица26[[#This Row],[Столбец5]]=""),"",VLOOKUP(A145,'Р 5. Финансирование'!$A$9:$D$100,3,FALSE))</f>
        <v/>
      </c>
      <c r="H145" s="47" t="str">
        <f>IF(OR(Таблица26[[#This Row],[Столбец1]]="",Таблица26[[#This Row],[Столбец5]]=""),"",VLOOKUP(A145,'Р 5. Финансирование'!$A$9:$D$100,4,FALSE))</f>
        <v/>
      </c>
      <c r="I145" s="6" t="str">
        <f>IF(OR(Таблица26[[#This Row],[Столбец5]]="отсутствует",Таблица26[[#This Row],[Столбец5]]=""),"",VLOOKUP(A145,'Р 4. Показатели_индикаторы'!$A$9:$J$103,3,FALSE))</f>
        <v/>
      </c>
      <c r="J145" s="6" t="str">
        <f>IF(OR(Таблица26[[#This Row],[Столбец5]]="отсутствует",Таблица26[[#This Row],[Столбец5]]=""),"",VLOOKUP(A145,'Р 4. Показатели_индикаторы'!$A$9:$J$103,4,FALSE))</f>
        <v/>
      </c>
      <c r="K145" s="6" t="str">
        <f>IF(OR(Таблица26[[#This Row],[Столбец1]]="",Таблица26[[#This Row],[Столбец5]]="",Таблица26[[#This Row],[Столбец5]]="отсутствует"),"",VLOOKUP(A145,'Р 4. Показатели_индикаторы'!$A$9:$J$103,5,FALSE))</f>
        <v/>
      </c>
      <c r="L145" s="6" t="str">
        <f>IF(OR(Таблица26[[#This Row],[Столбец1]]="",Таблица26[[#This Row],[Столбец5]]="",Таблица26[[#This Row],[Столбец5]]="отсутствует"),"",VLOOKUP(A145,'Р 4. Показатели_индикаторы'!$A$9:$J$103,6,FALSE))</f>
        <v/>
      </c>
      <c r="M145" s="6" t="str">
        <f>IF(OR(Таблица26[[#This Row],[Столбец1]]="",Таблица26[[#This Row],[Столбец5]]="",Таблица26[[#This Row],[Столбец5]]="отсутствует"),"",VLOOKUP(A145,'Р 4. Показатели_индикаторы'!$A$9:$J$103,7,FALSE))</f>
        <v/>
      </c>
      <c r="N145" s="6" t="str">
        <f>IF(OR(Таблица26[[#This Row],[Столбец1]]="",Таблица26[[#This Row],[Столбец5]]="",Таблица26[[#This Row],[Столбец5]]="отсутствует"),"",VLOOKUP(A145,'Р 4. Показатели_индикаторы'!$A$9:$J$103,8,FALSE))</f>
        <v/>
      </c>
      <c r="O145" s="10" t="str">
        <f>IF(VLOOKUP(A145,'Р 1. "Общие сведения"'!$I$8:$L$179,4,FALSE)="","",VLOOKUP(A145,'Р 1. "Общие сведения"'!$I$8:$L$179,4,FALSE))</f>
        <v/>
      </c>
    </row>
    <row r="146" spans="1:15" x14ac:dyDescent="0.25">
      <c r="A146" s="48" t="str">
        <f>IF('Р 1. "Общие сведения"'!I146="","",'Р 1. "Общие сведения"'!I146)</f>
        <v xml:space="preserve"> </v>
      </c>
      <c r="B146" s="44" t="str">
        <f>IF('Р 1. "Общие сведения"'!J146="","",'Р 1. "Общие сведения"'!J146)</f>
        <v/>
      </c>
      <c r="C146" s="44" t="str">
        <f>IF('Р 1. "Общие сведения"'!H146="","",'Р 1. "Общие сведения"'!H146)</f>
        <v/>
      </c>
      <c r="D146" s="44" t="str">
        <f>IF('Р 1. "Общие сведения"'!D146="","",'Р 1. "Общие сведения"'!D146)</f>
        <v/>
      </c>
      <c r="E146" s="44" t="str">
        <f>IF('Р 1. "Общие сведения"'!K146="","",'Р 1. "Общие сведения"'!K146)</f>
        <v/>
      </c>
      <c r="F146" s="45" t="str">
        <f>IF(OR(Таблица26[[#This Row],[Столбец1]]="",Таблица26[[#This Row],[Столбец5]]="",),"",VLOOKUP(A146,Таблица9[#All],2,FALSE))</f>
        <v/>
      </c>
      <c r="G146" s="47" t="str">
        <f>IF(OR(Таблица26[[#This Row],[Столбец1]]="",Таблица26[[#This Row],[Столбец5]]=""),"",VLOOKUP(A146,'Р 5. Финансирование'!$A$9:$D$100,3,FALSE))</f>
        <v/>
      </c>
      <c r="H146" s="47" t="str">
        <f>IF(OR(Таблица26[[#This Row],[Столбец1]]="",Таблица26[[#This Row],[Столбец5]]=""),"",VLOOKUP(A146,'Р 5. Финансирование'!$A$9:$D$100,4,FALSE))</f>
        <v/>
      </c>
      <c r="I146" s="6" t="str">
        <f>IF(OR(Таблица26[[#This Row],[Столбец5]]="отсутствует",Таблица26[[#This Row],[Столбец5]]=""),"",VLOOKUP(A146,'Р 4. Показатели_индикаторы'!$A$9:$J$103,3,FALSE))</f>
        <v/>
      </c>
      <c r="J146" s="6" t="str">
        <f>IF(OR(Таблица26[[#This Row],[Столбец5]]="отсутствует",Таблица26[[#This Row],[Столбец5]]=""),"",VLOOKUP(A146,'Р 4. Показатели_индикаторы'!$A$9:$J$103,4,FALSE))</f>
        <v/>
      </c>
      <c r="K146" s="6" t="str">
        <f>IF(OR(Таблица26[[#This Row],[Столбец1]]="",Таблица26[[#This Row],[Столбец5]]="",Таблица26[[#This Row],[Столбец5]]="отсутствует"),"",VLOOKUP(A146,'Р 4. Показатели_индикаторы'!$A$9:$J$103,5,FALSE))</f>
        <v/>
      </c>
      <c r="L146" s="6" t="str">
        <f>IF(OR(Таблица26[[#This Row],[Столбец1]]="",Таблица26[[#This Row],[Столбец5]]="",Таблица26[[#This Row],[Столбец5]]="отсутствует"),"",VLOOKUP(A146,'Р 4. Показатели_индикаторы'!$A$9:$J$103,6,FALSE))</f>
        <v/>
      </c>
      <c r="M146" s="6" t="str">
        <f>IF(OR(Таблица26[[#This Row],[Столбец1]]="",Таблица26[[#This Row],[Столбец5]]="",Таблица26[[#This Row],[Столбец5]]="отсутствует"),"",VLOOKUP(A146,'Р 4. Показатели_индикаторы'!$A$9:$J$103,7,FALSE))</f>
        <v/>
      </c>
      <c r="N146" s="6" t="str">
        <f>IF(OR(Таблица26[[#This Row],[Столбец1]]="",Таблица26[[#This Row],[Столбец5]]="",Таблица26[[#This Row],[Столбец5]]="отсутствует"),"",VLOOKUP(A146,'Р 4. Показатели_индикаторы'!$A$9:$J$103,8,FALSE))</f>
        <v/>
      </c>
      <c r="O146" s="10" t="str">
        <f>IF(VLOOKUP(A146,'Р 1. "Общие сведения"'!$I$8:$L$179,4,FALSE)="","",VLOOKUP(A146,'Р 1. "Общие сведения"'!$I$8:$L$179,4,FALSE))</f>
        <v/>
      </c>
    </row>
    <row r="147" spans="1:15" x14ac:dyDescent="0.25">
      <c r="A147" s="48" t="str">
        <f>IF('Р 1. "Общие сведения"'!I147="","",'Р 1. "Общие сведения"'!I147)</f>
        <v xml:space="preserve"> </v>
      </c>
      <c r="B147" s="44" t="str">
        <f>IF('Р 1. "Общие сведения"'!J147="","",'Р 1. "Общие сведения"'!J147)</f>
        <v/>
      </c>
      <c r="C147" s="44" t="str">
        <f>IF('Р 1. "Общие сведения"'!H147="","",'Р 1. "Общие сведения"'!H147)</f>
        <v/>
      </c>
      <c r="D147" s="44" t="str">
        <f>IF('Р 1. "Общие сведения"'!D147="","",'Р 1. "Общие сведения"'!D147)</f>
        <v/>
      </c>
      <c r="E147" s="44" t="str">
        <f>IF('Р 1. "Общие сведения"'!K147="","",'Р 1. "Общие сведения"'!K147)</f>
        <v/>
      </c>
      <c r="F147" s="45" t="str">
        <f>IF(OR(Таблица26[[#This Row],[Столбец1]]="",Таблица26[[#This Row],[Столбец5]]="",),"",VLOOKUP(A147,Таблица9[#All],2,FALSE))</f>
        <v/>
      </c>
      <c r="G147" s="47" t="str">
        <f>IF(OR(Таблица26[[#This Row],[Столбец1]]="",Таблица26[[#This Row],[Столбец5]]=""),"",VLOOKUP(A147,'Р 5. Финансирование'!$A$9:$D$100,3,FALSE))</f>
        <v/>
      </c>
      <c r="H147" s="47" t="str">
        <f>IF(OR(Таблица26[[#This Row],[Столбец1]]="",Таблица26[[#This Row],[Столбец5]]=""),"",VLOOKUP(A147,'Р 5. Финансирование'!$A$9:$D$100,4,FALSE))</f>
        <v/>
      </c>
      <c r="I147" s="6" t="str">
        <f>IF(OR(Таблица26[[#This Row],[Столбец5]]="отсутствует",Таблица26[[#This Row],[Столбец5]]=""),"",VLOOKUP(A147,'Р 4. Показатели_индикаторы'!$A$9:$J$103,3,FALSE))</f>
        <v/>
      </c>
      <c r="J147" s="6" t="str">
        <f>IF(OR(Таблица26[[#This Row],[Столбец5]]="отсутствует",Таблица26[[#This Row],[Столбец5]]=""),"",VLOOKUP(A147,'Р 4. Показатели_индикаторы'!$A$9:$J$103,4,FALSE))</f>
        <v/>
      </c>
      <c r="K147" s="6" t="str">
        <f>IF(OR(Таблица26[[#This Row],[Столбец1]]="",Таблица26[[#This Row],[Столбец5]]="",Таблица26[[#This Row],[Столбец5]]="отсутствует"),"",VLOOKUP(A147,'Р 4. Показатели_индикаторы'!$A$9:$J$103,5,FALSE))</f>
        <v/>
      </c>
      <c r="L147" s="6" t="str">
        <f>IF(OR(Таблица26[[#This Row],[Столбец1]]="",Таблица26[[#This Row],[Столбец5]]="",Таблица26[[#This Row],[Столбец5]]="отсутствует"),"",VLOOKUP(A147,'Р 4. Показатели_индикаторы'!$A$9:$J$103,6,FALSE))</f>
        <v/>
      </c>
      <c r="M147" s="6" t="str">
        <f>IF(OR(Таблица26[[#This Row],[Столбец1]]="",Таблица26[[#This Row],[Столбец5]]="",Таблица26[[#This Row],[Столбец5]]="отсутствует"),"",VLOOKUP(A147,'Р 4. Показатели_индикаторы'!$A$9:$J$103,7,FALSE))</f>
        <v/>
      </c>
      <c r="N147" s="6" t="str">
        <f>IF(OR(Таблица26[[#This Row],[Столбец1]]="",Таблица26[[#This Row],[Столбец5]]="",Таблица26[[#This Row],[Столбец5]]="отсутствует"),"",VLOOKUP(A147,'Р 4. Показатели_индикаторы'!$A$9:$J$103,8,FALSE))</f>
        <v/>
      </c>
      <c r="O147" s="10" t="str">
        <f>IF(VLOOKUP(A147,'Р 1. "Общие сведения"'!$I$8:$L$179,4,FALSE)="","",VLOOKUP(A147,'Р 1. "Общие сведения"'!$I$8:$L$179,4,FALSE))</f>
        <v/>
      </c>
    </row>
    <row r="148" spans="1:15" x14ac:dyDescent="0.25">
      <c r="A148" s="48" t="str">
        <f>IF('Р 1. "Общие сведения"'!I148="","",'Р 1. "Общие сведения"'!I148)</f>
        <v xml:space="preserve"> </v>
      </c>
      <c r="B148" s="44" t="str">
        <f>IF('Р 1. "Общие сведения"'!J148="","",'Р 1. "Общие сведения"'!J148)</f>
        <v/>
      </c>
      <c r="C148" s="44" t="str">
        <f>IF('Р 1. "Общие сведения"'!H148="","",'Р 1. "Общие сведения"'!H148)</f>
        <v/>
      </c>
      <c r="D148" s="44" t="str">
        <f>IF('Р 1. "Общие сведения"'!D148="","",'Р 1. "Общие сведения"'!D148)</f>
        <v/>
      </c>
      <c r="E148" s="44" t="str">
        <f>IF('Р 1. "Общие сведения"'!K148="","",'Р 1. "Общие сведения"'!K148)</f>
        <v/>
      </c>
      <c r="F148" s="45" t="str">
        <f>IF(OR(Таблица26[[#This Row],[Столбец1]]="",Таблица26[[#This Row],[Столбец5]]="",),"",VLOOKUP(A148,Таблица9[#All],2,FALSE))</f>
        <v/>
      </c>
      <c r="G148" s="47" t="str">
        <f>IF(OR(Таблица26[[#This Row],[Столбец1]]="",Таблица26[[#This Row],[Столбец5]]=""),"",VLOOKUP(A148,'Р 5. Финансирование'!$A$9:$D$100,3,FALSE))</f>
        <v/>
      </c>
      <c r="H148" s="47" t="str">
        <f>IF(OR(Таблица26[[#This Row],[Столбец1]]="",Таблица26[[#This Row],[Столбец5]]=""),"",VLOOKUP(A148,'Р 5. Финансирование'!$A$9:$D$100,4,FALSE))</f>
        <v/>
      </c>
      <c r="I148" s="6" t="str">
        <f>IF(OR(Таблица26[[#This Row],[Столбец5]]="отсутствует",Таблица26[[#This Row],[Столбец5]]=""),"",VLOOKUP(A148,'Р 4. Показатели_индикаторы'!$A$9:$J$103,3,FALSE))</f>
        <v/>
      </c>
      <c r="J148" s="6" t="str">
        <f>IF(OR(Таблица26[[#This Row],[Столбец5]]="отсутствует",Таблица26[[#This Row],[Столбец5]]=""),"",VLOOKUP(A148,'Р 4. Показатели_индикаторы'!$A$9:$J$103,4,FALSE))</f>
        <v/>
      </c>
      <c r="K148" s="6" t="str">
        <f>IF(OR(Таблица26[[#This Row],[Столбец1]]="",Таблица26[[#This Row],[Столбец5]]="",Таблица26[[#This Row],[Столбец5]]="отсутствует"),"",VLOOKUP(A148,'Р 4. Показатели_индикаторы'!$A$9:$J$103,5,FALSE))</f>
        <v/>
      </c>
      <c r="L148" s="6" t="str">
        <f>IF(OR(Таблица26[[#This Row],[Столбец1]]="",Таблица26[[#This Row],[Столбец5]]="",Таблица26[[#This Row],[Столбец5]]="отсутствует"),"",VLOOKUP(A148,'Р 4. Показатели_индикаторы'!$A$9:$J$103,6,FALSE))</f>
        <v/>
      </c>
      <c r="M148" s="6" t="str">
        <f>IF(OR(Таблица26[[#This Row],[Столбец1]]="",Таблица26[[#This Row],[Столбец5]]="",Таблица26[[#This Row],[Столбец5]]="отсутствует"),"",VLOOKUP(A148,'Р 4. Показатели_индикаторы'!$A$9:$J$103,7,FALSE))</f>
        <v/>
      </c>
      <c r="N148" s="6" t="str">
        <f>IF(OR(Таблица26[[#This Row],[Столбец1]]="",Таблица26[[#This Row],[Столбец5]]="",Таблица26[[#This Row],[Столбец5]]="отсутствует"),"",VLOOKUP(A148,'Р 4. Показатели_индикаторы'!$A$9:$J$103,8,FALSE))</f>
        <v/>
      </c>
      <c r="O148" s="10" t="str">
        <f>IF(VLOOKUP(A148,'Р 1. "Общие сведения"'!$I$8:$L$179,4,FALSE)="","",VLOOKUP(A148,'Р 1. "Общие сведения"'!$I$8:$L$179,4,FALSE))</f>
        <v/>
      </c>
    </row>
    <row r="149" spans="1:15" x14ac:dyDescent="0.25">
      <c r="A149" s="48" t="str">
        <f>IF('Р 1. "Общие сведения"'!I149="","",'Р 1. "Общие сведения"'!I149)</f>
        <v xml:space="preserve"> </v>
      </c>
      <c r="B149" s="44" t="str">
        <f>IF('Р 1. "Общие сведения"'!J149="","",'Р 1. "Общие сведения"'!J149)</f>
        <v/>
      </c>
      <c r="C149" s="44" t="str">
        <f>IF('Р 1. "Общие сведения"'!H149="","",'Р 1. "Общие сведения"'!H149)</f>
        <v/>
      </c>
      <c r="D149" s="44" t="str">
        <f>IF('Р 1. "Общие сведения"'!D149="","",'Р 1. "Общие сведения"'!D149)</f>
        <v/>
      </c>
      <c r="E149" s="44" t="str">
        <f>IF('Р 1. "Общие сведения"'!K149="","",'Р 1. "Общие сведения"'!K149)</f>
        <v/>
      </c>
      <c r="F149" s="45" t="str">
        <f>IF(OR(Таблица26[[#This Row],[Столбец1]]="",Таблица26[[#This Row],[Столбец5]]="",),"",VLOOKUP(A149,Таблица9[#All],2,FALSE))</f>
        <v/>
      </c>
      <c r="G149" s="47" t="str">
        <f>IF(OR(Таблица26[[#This Row],[Столбец1]]="",Таблица26[[#This Row],[Столбец5]]=""),"",VLOOKUP(A149,'Р 5. Финансирование'!$A$9:$D$100,3,FALSE))</f>
        <v/>
      </c>
      <c r="H149" s="47" t="str">
        <f>IF(OR(Таблица26[[#This Row],[Столбец1]]="",Таблица26[[#This Row],[Столбец5]]=""),"",VLOOKUP(A149,'Р 5. Финансирование'!$A$9:$D$100,4,FALSE))</f>
        <v/>
      </c>
      <c r="I149" s="6" t="str">
        <f>IF(OR(Таблица26[[#This Row],[Столбец5]]="отсутствует",Таблица26[[#This Row],[Столбец5]]=""),"",VLOOKUP(A149,'Р 4. Показатели_индикаторы'!$A$9:$J$103,3,FALSE))</f>
        <v/>
      </c>
      <c r="J149" s="6" t="str">
        <f>IF(OR(Таблица26[[#This Row],[Столбец5]]="отсутствует",Таблица26[[#This Row],[Столбец5]]=""),"",VLOOKUP(A149,'Р 4. Показатели_индикаторы'!$A$9:$J$103,4,FALSE))</f>
        <v/>
      </c>
      <c r="K149" s="6" t="str">
        <f>IF(OR(Таблица26[[#This Row],[Столбец1]]="",Таблица26[[#This Row],[Столбец5]]="",Таблица26[[#This Row],[Столбец5]]="отсутствует"),"",VLOOKUP(A149,'Р 4. Показатели_индикаторы'!$A$9:$J$103,5,FALSE))</f>
        <v/>
      </c>
      <c r="L149" s="6" t="str">
        <f>IF(OR(Таблица26[[#This Row],[Столбец1]]="",Таблица26[[#This Row],[Столбец5]]="",Таблица26[[#This Row],[Столбец5]]="отсутствует"),"",VLOOKUP(A149,'Р 4. Показатели_индикаторы'!$A$9:$J$103,6,FALSE))</f>
        <v/>
      </c>
      <c r="M149" s="6" t="str">
        <f>IF(OR(Таблица26[[#This Row],[Столбец1]]="",Таблица26[[#This Row],[Столбец5]]="",Таблица26[[#This Row],[Столбец5]]="отсутствует"),"",VLOOKUP(A149,'Р 4. Показатели_индикаторы'!$A$9:$J$103,7,FALSE))</f>
        <v/>
      </c>
      <c r="N149" s="6" t="str">
        <f>IF(OR(Таблица26[[#This Row],[Столбец1]]="",Таблица26[[#This Row],[Столбец5]]="",Таблица26[[#This Row],[Столбец5]]="отсутствует"),"",VLOOKUP(A149,'Р 4. Показатели_индикаторы'!$A$9:$J$103,8,FALSE))</f>
        <v/>
      </c>
      <c r="O149" s="10" t="str">
        <f>IF(VLOOKUP(A149,'Р 1. "Общие сведения"'!$I$8:$L$179,4,FALSE)="","",VLOOKUP(A149,'Р 1. "Общие сведения"'!$I$8:$L$179,4,FALSE))</f>
        <v/>
      </c>
    </row>
    <row r="150" spans="1:15" x14ac:dyDescent="0.25">
      <c r="A150" s="48" t="str">
        <f>IF('Р 1. "Общие сведения"'!I150="","",'Р 1. "Общие сведения"'!I150)</f>
        <v xml:space="preserve"> </v>
      </c>
      <c r="B150" s="44" t="str">
        <f>IF('Р 1. "Общие сведения"'!J150="","",'Р 1. "Общие сведения"'!J150)</f>
        <v/>
      </c>
      <c r="C150" s="44" t="str">
        <f>IF('Р 1. "Общие сведения"'!H150="","",'Р 1. "Общие сведения"'!H150)</f>
        <v/>
      </c>
      <c r="D150" s="44" t="str">
        <f>IF('Р 1. "Общие сведения"'!D150="","",'Р 1. "Общие сведения"'!D150)</f>
        <v/>
      </c>
      <c r="E150" s="44" t="str">
        <f>IF('Р 1. "Общие сведения"'!K150="","",'Р 1. "Общие сведения"'!K150)</f>
        <v/>
      </c>
      <c r="F150" s="45" t="str">
        <f>IF(OR(Таблица26[[#This Row],[Столбец1]]="",Таблица26[[#This Row],[Столбец5]]="",),"",VLOOKUP(A150,Таблица9[#All],2,FALSE))</f>
        <v/>
      </c>
      <c r="G150" s="47" t="str">
        <f>IF(OR(Таблица26[[#This Row],[Столбец1]]="",Таблица26[[#This Row],[Столбец5]]=""),"",VLOOKUP(A150,'Р 5. Финансирование'!$A$9:$D$100,3,FALSE))</f>
        <v/>
      </c>
      <c r="H150" s="47" t="str">
        <f>IF(OR(Таблица26[[#This Row],[Столбец1]]="",Таблица26[[#This Row],[Столбец5]]=""),"",VLOOKUP(A150,'Р 5. Финансирование'!$A$9:$D$100,4,FALSE))</f>
        <v/>
      </c>
      <c r="I150" s="6" t="str">
        <f>IF(OR(Таблица26[[#This Row],[Столбец5]]="отсутствует",Таблица26[[#This Row],[Столбец5]]=""),"",VLOOKUP(A150,'Р 4. Показатели_индикаторы'!$A$9:$J$103,3,FALSE))</f>
        <v/>
      </c>
      <c r="J150" s="6" t="str">
        <f>IF(OR(Таблица26[[#This Row],[Столбец5]]="отсутствует",Таблица26[[#This Row],[Столбец5]]=""),"",VLOOKUP(A150,'Р 4. Показатели_индикаторы'!$A$9:$J$103,4,FALSE))</f>
        <v/>
      </c>
      <c r="K150" s="6" t="str">
        <f>IF(OR(Таблица26[[#This Row],[Столбец1]]="",Таблица26[[#This Row],[Столбец5]]="",Таблица26[[#This Row],[Столбец5]]="отсутствует"),"",VLOOKUP(A150,'Р 4. Показатели_индикаторы'!$A$9:$J$103,5,FALSE))</f>
        <v/>
      </c>
      <c r="L150" s="6" t="str">
        <f>IF(OR(Таблица26[[#This Row],[Столбец1]]="",Таблица26[[#This Row],[Столбец5]]="",Таблица26[[#This Row],[Столбец5]]="отсутствует"),"",VLOOKUP(A150,'Р 4. Показатели_индикаторы'!$A$9:$J$103,6,FALSE))</f>
        <v/>
      </c>
      <c r="M150" s="6" t="str">
        <f>IF(OR(Таблица26[[#This Row],[Столбец1]]="",Таблица26[[#This Row],[Столбец5]]="",Таблица26[[#This Row],[Столбец5]]="отсутствует"),"",VLOOKUP(A150,'Р 4. Показатели_индикаторы'!$A$9:$J$103,7,FALSE))</f>
        <v/>
      </c>
      <c r="N150" s="6" t="str">
        <f>IF(OR(Таблица26[[#This Row],[Столбец1]]="",Таблица26[[#This Row],[Столбец5]]="",Таблица26[[#This Row],[Столбец5]]="отсутствует"),"",VLOOKUP(A150,'Р 4. Показатели_индикаторы'!$A$9:$J$103,8,FALSE))</f>
        <v/>
      </c>
      <c r="O150" s="10" t="str">
        <f>IF(VLOOKUP(A150,'Р 1. "Общие сведения"'!$I$8:$L$179,4,FALSE)="","",VLOOKUP(A150,'Р 1. "Общие сведения"'!$I$8:$L$179,4,FALSE))</f>
        <v/>
      </c>
    </row>
    <row r="151" spans="1:15" x14ac:dyDescent="0.25">
      <c r="A151" s="48" t="str">
        <f>IF('Р 1. "Общие сведения"'!I151="","",'Р 1. "Общие сведения"'!I151)</f>
        <v xml:space="preserve"> </v>
      </c>
      <c r="B151" s="44" t="str">
        <f>IF('Р 1. "Общие сведения"'!J151="","",'Р 1. "Общие сведения"'!J151)</f>
        <v/>
      </c>
      <c r="C151" s="44" t="str">
        <f>IF('Р 1. "Общие сведения"'!H151="","",'Р 1. "Общие сведения"'!H151)</f>
        <v/>
      </c>
      <c r="D151" s="44" t="str">
        <f>IF('Р 1. "Общие сведения"'!D151="","",'Р 1. "Общие сведения"'!D151)</f>
        <v/>
      </c>
      <c r="E151" s="44" t="str">
        <f>IF('Р 1. "Общие сведения"'!K151="","",'Р 1. "Общие сведения"'!K151)</f>
        <v/>
      </c>
      <c r="F151" s="45" t="str">
        <f>IF(OR(Таблица26[[#This Row],[Столбец1]]="",Таблица26[[#This Row],[Столбец5]]="",),"",VLOOKUP(A151,Таблица9[#All],2,FALSE))</f>
        <v/>
      </c>
      <c r="G151" s="47" t="str">
        <f>IF(OR(Таблица26[[#This Row],[Столбец1]]="",Таблица26[[#This Row],[Столбец5]]=""),"",VLOOKUP(A151,'Р 5. Финансирование'!$A$9:$D$100,3,FALSE))</f>
        <v/>
      </c>
      <c r="H151" s="47" t="str">
        <f>IF(OR(Таблица26[[#This Row],[Столбец1]]="",Таблица26[[#This Row],[Столбец5]]=""),"",VLOOKUP(A151,'Р 5. Финансирование'!$A$9:$D$100,4,FALSE))</f>
        <v/>
      </c>
      <c r="I151" s="6" t="str">
        <f>IF(OR(Таблица26[[#This Row],[Столбец5]]="отсутствует",Таблица26[[#This Row],[Столбец5]]=""),"",VLOOKUP(A151,'Р 4. Показатели_индикаторы'!$A$9:$J$103,3,FALSE))</f>
        <v/>
      </c>
      <c r="J151" s="6" t="str">
        <f>IF(OR(Таблица26[[#This Row],[Столбец5]]="отсутствует",Таблица26[[#This Row],[Столбец5]]=""),"",VLOOKUP(A151,'Р 4. Показатели_индикаторы'!$A$9:$J$103,4,FALSE))</f>
        <v/>
      </c>
      <c r="K151" s="6" t="str">
        <f>IF(OR(Таблица26[[#This Row],[Столбец1]]="",Таблица26[[#This Row],[Столбец5]]="",Таблица26[[#This Row],[Столбец5]]="отсутствует"),"",VLOOKUP(A151,'Р 4. Показатели_индикаторы'!$A$9:$J$103,5,FALSE))</f>
        <v/>
      </c>
      <c r="L151" s="6" t="str">
        <f>IF(OR(Таблица26[[#This Row],[Столбец1]]="",Таблица26[[#This Row],[Столбец5]]="",Таблица26[[#This Row],[Столбец5]]="отсутствует"),"",VLOOKUP(A151,'Р 4. Показатели_индикаторы'!$A$9:$J$103,6,FALSE))</f>
        <v/>
      </c>
      <c r="M151" s="6" t="str">
        <f>IF(OR(Таблица26[[#This Row],[Столбец1]]="",Таблица26[[#This Row],[Столбец5]]="",Таблица26[[#This Row],[Столбец5]]="отсутствует"),"",VLOOKUP(A151,'Р 4. Показатели_индикаторы'!$A$9:$J$103,7,FALSE))</f>
        <v/>
      </c>
      <c r="N151" s="6" t="str">
        <f>IF(OR(Таблица26[[#This Row],[Столбец1]]="",Таблица26[[#This Row],[Столбец5]]="",Таблица26[[#This Row],[Столбец5]]="отсутствует"),"",VLOOKUP(A151,'Р 4. Показатели_индикаторы'!$A$9:$J$103,8,FALSE))</f>
        <v/>
      </c>
      <c r="O151" s="10" t="str">
        <f>IF(VLOOKUP(A151,'Р 1. "Общие сведения"'!$I$8:$L$179,4,FALSE)="","",VLOOKUP(A151,'Р 1. "Общие сведения"'!$I$8:$L$179,4,FALSE))</f>
        <v/>
      </c>
    </row>
    <row r="152" spans="1:15" x14ac:dyDescent="0.25">
      <c r="A152" s="48" t="str">
        <f>IF('Р 1. "Общие сведения"'!I152="","",'Р 1. "Общие сведения"'!I152)</f>
        <v xml:space="preserve"> </v>
      </c>
      <c r="B152" s="44" t="str">
        <f>IF('Р 1. "Общие сведения"'!J152="","",'Р 1. "Общие сведения"'!J152)</f>
        <v/>
      </c>
      <c r="C152" s="44" t="str">
        <f>IF('Р 1. "Общие сведения"'!H152="","",'Р 1. "Общие сведения"'!H152)</f>
        <v/>
      </c>
      <c r="D152" s="44" t="str">
        <f>IF('Р 1. "Общие сведения"'!D152="","",'Р 1. "Общие сведения"'!D152)</f>
        <v/>
      </c>
      <c r="E152" s="44" t="str">
        <f>IF('Р 1. "Общие сведения"'!K152="","",'Р 1. "Общие сведения"'!K152)</f>
        <v/>
      </c>
      <c r="F152" s="45" t="str">
        <f>IF(OR(Таблица26[[#This Row],[Столбец1]]="",Таблица26[[#This Row],[Столбец5]]="",),"",VLOOKUP(A152,Таблица9[#All],2,FALSE))</f>
        <v/>
      </c>
      <c r="G152" s="47" t="str">
        <f>IF(OR(Таблица26[[#This Row],[Столбец1]]="",Таблица26[[#This Row],[Столбец5]]=""),"",VLOOKUP(A152,'Р 5. Финансирование'!$A$9:$D$100,3,FALSE))</f>
        <v/>
      </c>
      <c r="H152" s="47" t="str">
        <f>IF(OR(Таблица26[[#This Row],[Столбец1]]="",Таблица26[[#This Row],[Столбец5]]=""),"",VLOOKUP(A152,'Р 5. Финансирование'!$A$9:$D$100,4,FALSE))</f>
        <v/>
      </c>
      <c r="I152" s="6" t="str">
        <f>IF(OR(Таблица26[[#This Row],[Столбец5]]="отсутствует",Таблица26[[#This Row],[Столбец5]]=""),"",VLOOKUP(A152,'Р 4. Показатели_индикаторы'!$A$9:$J$103,3,FALSE))</f>
        <v/>
      </c>
      <c r="J152" s="6" t="str">
        <f>IF(OR(Таблица26[[#This Row],[Столбец5]]="отсутствует",Таблица26[[#This Row],[Столбец5]]=""),"",VLOOKUP(A152,'Р 4. Показатели_индикаторы'!$A$9:$J$103,4,FALSE))</f>
        <v/>
      </c>
      <c r="K152" s="6" t="str">
        <f>IF(OR(Таблица26[[#This Row],[Столбец1]]="",Таблица26[[#This Row],[Столбец5]]="",Таблица26[[#This Row],[Столбец5]]="отсутствует"),"",VLOOKUP(A152,'Р 4. Показатели_индикаторы'!$A$9:$J$103,5,FALSE))</f>
        <v/>
      </c>
      <c r="L152" s="6" t="str">
        <f>IF(OR(Таблица26[[#This Row],[Столбец1]]="",Таблица26[[#This Row],[Столбец5]]="",Таблица26[[#This Row],[Столбец5]]="отсутствует"),"",VLOOKUP(A152,'Р 4. Показатели_индикаторы'!$A$9:$J$103,6,FALSE))</f>
        <v/>
      </c>
      <c r="M152" s="6" t="str">
        <f>IF(OR(Таблица26[[#This Row],[Столбец1]]="",Таблица26[[#This Row],[Столбец5]]="",Таблица26[[#This Row],[Столбец5]]="отсутствует"),"",VLOOKUP(A152,'Р 4. Показатели_индикаторы'!$A$9:$J$103,7,FALSE))</f>
        <v/>
      </c>
      <c r="N152" s="6" t="str">
        <f>IF(OR(Таблица26[[#This Row],[Столбец1]]="",Таблица26[[#This Row],[Столбец5]]="",Таблица26[[#This Row],[Столбец5]]="отсутствует"),"",VLOOKUP(A152,'Р 4. Показатели_индикаторы'!$A$9:$J$103,8,FALSE))</f>
        <v/>
      </c>
      <c r="O152" s="10" t="str">
        <f>IF(VLOOKUP(A152,'Р 1. "Общие сведения"'!$I$8:$L$179,4,FALSE)="","",VLOOKUP(A152,'Р 1. "Общие сведения"'!$I$8:$L$179,4,FALSE))</f>
        <v/>
      </c>
    </row>
    <row r="153" spans="1:15" x14ac:dyDescent="0.25">
      <c r="A153" s="48" t="str">
        <f>IF('Р 1. "Общие сведения"'!I153="","",'Р 1. "Общие сведения"'!I153)</f>
        <v xml:space="preserve"> </v>
      </c>
      <c r="B153" s="44" t="str">
        <f>IF('Р 1. "Общие сведения"'!J153="","",'Р 1. "Общие сведения"'!J153)</f>
        <v/>
      </c>
      <c r="C153" s="44" t="str">
        <f>IF('Р 1. "Общие сведения"'!H153="","",'Р 1. "Общие сведения"'!H153)</f>
        <v/>
      </c>
      <c r="D153" s="44" t="str">
        <f>IF('Р 1. "Общие сведения"'!D153="","",'Р 1. "Общие сведения"'!D153)</f>
        <v/>
      </c>
      <c r="E153" s="44" t="str">
        <f>IF('Р 1. "Общие сведения"'!K153="","",'Р 1. "Общие сведения"'!K153)</f>
        <v/>
      </c>
      <c r="F153" s="45" t="str">
        <f>IF(OR(Таблица26[[#This Row],[Столбец1]]="",Таблица26[[#This Row],[Столбец5]]="",),"",VLOOKUP(A153,Таблица9[#All],2,FALSE))</f>
        <v/>
      </c>
      <c r="G153" s="47" t="str">
        <f>IF(OR(Таблица26[[#This Row],[Столбец1]]="",Таблица26[[#This Row],[Столбец5]]=""),"",VLOOKUP(A153,'Р 5. Финансирование'!$A$9:$D$100,3,FALSE))</f>
        <v/>
      </c>
      <c r="H153" s="47" t="str">
        <f>IF(OR(Таблица26[[#This Row],[Столбец1]]="",Таблица26[[#This Row],[Столбец5]]=""),"",VLOOKUP(A153,'Р 5. Финансирование'!$A$9:$D$100,4,FALSE))</f>
        <v/>
      </c>
      <c r="I153" s="6" t="str">
        <f>IF(OR(Таблица26[[#This Row],[Столбец5]]="отсутствует",Таблица26[[#This Row],[Столбец5]]=""),"",VLOOKUP(A153,'Р 4. Показатели_индикаторы'!$A$9:$J$103,3,FALSE))</f>
        <v/>
      </c>
      <c r="J153" s="6" t="str">
        <f>IF(OR(Таблица26[[#This Row],[Столбец5]]="отсутствует",Таблица26[[#This Row],[Столбец5]]=""),"",VLOOKUP(A153,'Р 4. Показатели_индикаторы'!$A$9:$J$103,4,FALSE))</f>
        <v/>
      </c>
      <c r="K153" s="6" t="str">
        <f>IF(OR(Таблица26[[#This Row],[Столбец1]]="",Таблица26[[#This Row],[Столбец5]]="",Таблица26[[#This Row],[Столбец5]]="отсутствует"),"",VLOOKUP(A153,'Р 4. Показатели_индикаторы'!$A$9:$J$103,5,FALSE))</f>
        <v/>
      </c>
      <c r="L153" s="6" t="str">
        <f>IF(OR(Таблица26[[#This Row],[Столбец1]]="",Таблица26[[#This Row],[Столбец5]]="",Таблица26[[#This Row],[Столбец5]]="отсутствует"),"",VLOOKUP(A153,'Р 4. Показатели_индикаторы'!$A$9:$J$103,6,FALSE))</f>
        <v/>
      </c>
      <c r="M153" s="6" t="str">
        <f>IF(OR(Таблица26[[#This Row],[Столбец1]]="",Таблица26[[#This Row],[Столбец5]]="",Таблица26[[#This Row],[Столбец5]]="отсутствует"),"",VLOOKUP(A153,'Р 4. Показатели_индикаторы'!$A$9:$J$103,7,FALSE))</f>
        <v/>
      </c>
      <c r="N153" s="6" t="str">
        <f>IF(OR(Таблица26[[#This Row],[Столбец1]]="",Таблица26[[#This Row],[Столбец5]]="",Таблица26[[#This Row],[Столбец5]]="отсутствует"),"",VLOOKUP(A153,'Р 4. Показатели_индикаторы'!$A$9:$J$103,8,FALSE))</f>
        <v/>
      </c>
      <c r="O153" s="10" t="str">
        <f>IF(VLOOKUP(A153,'Р 1. "Общие сведения"'!$I$8:$L$179,4,FALSE)="","",VLOOKUP(A153,'Р 1. "Общие сведения"'!$I$8:$L$179,4,FALSE))</f>
        <v/>
      </c>
    </row>
    <row r="154" spans="1:15" x14ac:dyDescent="0.25">
      <c r="A154" s="48" t="str">
        <f>IF('Р 1. "Общие сведения"'!I154="","",'Р 1. "Общие сведения"'!I154)</f>
        <v xml:space="preserve"> </v>
      </c>
      <c r="B154" s="44" t="str">
        <f>IF('Р 1. "Общие сведения"'!J154="","",'Р 1. "Общие сведения"'!J154)</f>
        <v/>
      </c>
      <c r="C154" s="44" t="str">
        <f>IF('Р 1. "Общие сведения"'!H154="","",'Р 1. "Общие сведения"'!H154)</f>
        <v/>
      </c>
      <c r="D154" s="44" t="str">
        <f>IF('Р 1. "Общие сведения"'!D154="","",'Р 1. "Общие сведения"'!D154)</f>
        <v/>
      </c>
      <c r="E154" s="44" t="str">
        <f>IF('Р 1. "Общие сведения"'!K154="","",'Р 1. "Общие сведения"'!K154)</f>
        <v/>
      </c>
      <c r="F154" s="45" t="str">
        <f>IF(OR(Таблица26[[#This Row],[Столбец1]]="",Таблица26[[#This Row],[Столбец5]]="",),"",VLOOKUP(A154,Таблица9[#All],2,FALSE))</f>
        <v/>
      </c>
      <c r="G154" s="47" t="str">
        <f>IF(OR(Таблица26[[#This Row],[Столбец1]]="",Таблица26[[#This Row],[Столбец5]]=""),"",VLOOKUP(A154,'Р 5. Финансирование'!$A$9:$D$100,3,FALSE))</f>
        <v/>
      </c>
      <c r="H154" s="47" t="str">
        <f>IF(OR(Таблица26[[#This Row],[Столбец1]]="",Таблица26[[#This Row],[Столбец5]]=""),"",VLOOKUP(A154,'Р 5. Финансирование'!$A$9:$D$100,4,FALSE))</f>
        <v/>
      </c>
      <c r="I154" s="6" t="str">
        <f>IF(OR(Таблица26[[#This Row],[Столбец5]]="отсутствует",Таблица26[[#This Row],[Столбец5]]=""),"",VLOOKUP(A154,'Р 4. Показатели_индикаторы'!$A$9:$J$103,3,FALSE))</f>
        <v/>
      </c>
      <c r="J154" s="6" t="str">
        <f>IF(OR(Таблица26[[#This Row],[Столбец5]]="отсутствует",Таблица26[[#This Row],[Столбец5]]=""),"",VLOOKUP(A154,'Р 4. Показатели_индикаторы'!$A$9:$J$103,4,FALSE))</f>
        <v/>
      </c>
      <c r="K154" s="6" t="str">
        <f>IF(OR(Таблица26[[#This Row],[Столбец1]]="",Таблица26[[#This Row],[Столбец5]]="",Таблица26[[#This Row],[Столбец5]]="отсутствует"),"",VLOOKUP(A154,'Р 4. Показатели_индикаторы'!$A$9:$J$103,5,FALSE))</f>
        <v/>
      </c>
      <c r="L154" s="6" t="str">
        <f>IF(OR(Таблица26[[#This Row],[Столбец1]]="",Таблица26[[#This Row],[Столбец5]]="",Таблица26[[#This Row],[Столбец5]]="отсутствует"),"",VLOOKUP(A154,'Р 4. Показатели_индикаторы'!$A$9:$J$103,6,FALSE))</f>
        <v/>
      </c>
      <c r="M154" s="6" t="str">
        <f>IF(OR(Таблица26[[#This Row],[Столбец1]]="",Таблица26[[#This Row],[Столбец5]]="",Таблица26[[#This Row],[Столбец5]]="отсутствует"),"",VLOOKUP(A154,'Р 4. Показатели_индикаторы'!$A$9:$J$103,7,FALSE))</f>
        <v/>
      </c>
      <c r="N154" s="6" t="str">
        <f>IF(OR(Таблица26[[#This Row],[Столбец1]]="",Таблица26[[#This Row],[Столбец5]]="",Таблица26[[#This Row],[Столбец5]]="отсутствует"),"",VLOOKUP(A154,'Р 4. Показатели_индикаторы'!$A$9:$J$103,8,FALSE))</f>
        <v/>
      </c>
      <c r="O154" s="10" t="str">
        <f>IF(VLOOKUP(A154,'Р 1. "Общие сведения"'!$I$8:$L$179,4,FALSE)="","",VLOOKUP(A154,'Р 1. "Общие сведения"'!$I$8:$L$179,4,FALSE))</f>
        <v/>
      </c>
    </row>
    <row r="155" spans="1:15" x14ac:dyDescent="0.25">
      <c r="A155" s="48" t="str">
        <f>IF('Р 1. "Общие сведения"'!I155="","",'Р 1. "Общие сведения"'!I155)</f>
        <v xml:space="preserve"> </v>
      </c>
      <c r="B155" s="44" t="str">
        <f>IF('Р 1. "Общие сведения"'!J155="","",'Р 1. "Общие сведения"'!J155)</f>
        <v/>
      </c>
      <c r="C155" s="44" t="str">
        <f>IF('Р 1. "Общие сведения"'!H155="","",'Р 1. "Общие сведения"'!H155)</f>
        <v/>
      </c>
      <c r="D155" s="44" t="str">
        <f>IF('Р 1. "Общие сведения"'!D155="","",'Р 1. "Общие сведения"'!D155)</f>
        <v/>
      </c>
      <c r="E155" s="44" t="str">
        <f>IF('Р 1. "Общие сведения"'!K155="","",'Р 1. "Общие сведения"'!K155)</f>
        <v/>
      </c>
      <c r="F155" s="45" t="str">
        <f>IF(OR(Таблица26[[#This Row],[Столбец1]]="",Таблица26[[#This Row],[Столбец5]]="",),"",VLOOKUP(A155,Таблица9[#All],2,FALSE))</f>
        <v/>
      </c>
      <c r="G155" s="47" t="str">
        <f>IF(OR(Таблица26[[#This Row],[Столбец1]]="",Таблица26[[#This Row],[Столбец5]]=""),"",VLOOKUP(A155,'Р 5. Финансирование'!$A$9:$D$100,3,FALSE))</f>
        <v/>
      </c>
      <c r="H155" s="47" t="str">
        <f>IF(OR(Таблица26[[#This Row],[Столбец1]]="",Таблица26[[#This Row],[Столбец5]]=""),"",VLOOKUP(A155,'Р 5. Финансирование'!$A$9:$D$100,4,FALSE))</f>
        <v/>
      </c>
      <c r="I155" s="6" t="str">
        <f>IF(OR(Таблица26[[#This Row],[Столбец5]]="отсутствует",Таблица26[[#This Row],[Столбец5]]=""),"",VLOOKUP(A155,'Р 4. Показатели_индикаторы'!$A$9:$J$103,3,FALSE))</f>
        <v/>
      </c>
      <c r="J155" s="6" t="str">
        <f>IF(OR(Таблица26[[#This Row],[Столбец5]]="отсутствует",Таблица26[[#This Row],[Столбец5]]=""),"",VLOOKUP(A155,'Р 4. Показатели_индикаторы'!$A$9:$J$103,4,FALSE))</f>
        <v/>
      </c>
      <c r="K155" s="6" t="str">
        <f>IF(OR(Таблица26[[#This Row],[Столбец1]]="",Таблица26[[#This Row],[Столбец5]]="",Таблица26[[#This Row],[Столбец5]]="отсутствует"),"",VLOOKUP(A155,'Р 4. Показатели_индикаторы'!$A$9:$J$103,5,FALSE))</f>
        <v/>
      </c>
      <c r="L155" s="6" t="str">
        <f>IF(OR(Таблица26[[#This Row],[Столбец1]]="",Таблица26[[#This Row],[Столбец5]]="",Таблица26[[#This Row],[Столбец5]]="отсутствует"),"",VLOOKUP(A155,'Р 4. Показатели_индикаторы'!$A$9:$J$103,6,FALSE))</f>
        <v/>
      </c>
      <c r="M155" s="6" t="str">
        <f>IF(OR(Таблица26[[#This Row],[Столбец1]]="",Таблица26[[#This Row],[Столбец5]]="",Таблица26[[#This Row],[Столбец5]]="отсутствует"),"",VLOOKUP(A155,'Р 4. Показатели_индикаторы'!$A$9:$J$103,7,FALSE))</f>
        <v/>
      </c>
      <c r="N155" s="6" t="str">
        <f>IF(OR(Таблица26[[#This Row],[Столбец1]]="",Таблица26[[#This Row],[Столбец5]]="",Таблица26[[#This Row],[Столбец5]]="отсутствует"),"",VLOOKUP(A155,'Р 4. Показатели_индикаторы'!$A$9:$J$103,8,FALSE))</f>
        <v/>
      </c>
      <c r="O155" s="10" t="str">
        <f>IF(VLOOKUP(A155,'Р 1. "Общие сведения"'!$I$8:$L$179,4,FALSE)="","",VLOOKUP(A155,'Р 1. "Общие сведения"'!$I$8:$L$179,4,FALSE))</f>
        <v/>
      </c>
    </row>
    <row r="156" spans="1:15" x14ac:dyDescent="0.25">
      <c r="A156" s="48" t="str">
        <f>IF('Р 1. "Общие сведения"'!I156="","",'Р 1. "Общие сведения"'!I156)</f>
        <v xml:space="preserve"> </v>
      </c>
      <c r="B156" s="44" t="str">
        <f>IF('Р 1. "Общие сведения"'!J156="","",'Р 1. "Общие сведения"'!J156)</f>
        <v/>
      </c>
      <c r="C156" s="44" t="str">
        <f>IF('Р 1. "Общие сведения"'!H156="","",'Р 1. "Общие сведения"'!H156)</f>
        <v/>
      </c>
      <c r="D156" s="44" t="str">
        <f>IF('Р 1. "Общие сведения"'!D156="","",'Р 1. "Общие сведения"'!D156)</f>
        <v/>
      </c>
      <c r="E156" s="44" t="str">
        <f>IF('Р 1. "Общие сведения"'!K156="","",'Р 1. "Общие сведения"'!K156)</f>
        <v/>
      </c>
      <c r="F156" s="45" t="str">
        <f>IF(OR(Таблица26[[#This Row],[Столбец1]]="",Таблица26[[#This Row],[Столбец5]]="",),"",VLOOKUP(A156,Таблица9[#All],2,FALSE))</f>
        <v/>
      </c>
      <c r="G156" s="47" t="str">
        <f>IF(OR(Таблица26[[#This Row],[Столбец1]]="",Таблица26[[#This Row],[Столбец5]]=""),"",VLOOKUP(A156,'Р 5. Финансирование'!$A$9:$D$100,3,FALSE))</f>
        <v/>
      </c>
      <c r="H156" s="47" t="str">
        <f>IF(OR(Таблица26[[#This Row],[Столбец1]]="",Таблица26[[#This Row],[Столбец5]]=""),"",VLOOKUP(A156,'Р 5. Финансирование'!$A$9:$D$100,4,FALSE))</f>
        <v/>
      </c>
      <c r="I156" s="6" t="str">
        <f>IF(OR(Таблица26[[#This Row],[Столбец5]]="отсутствует",Таблица26[[#This Row],[Столбец5]]=""),"",VLOOKUP(A156,'Р 4. Показатели_индикаторы'!$A$9:$J$103,3,FALSE))</f>
        <v/>
      </c>
      <c r="J156" s="6" t="str">
        <f>IF(OR(Таблица26[[#This Row],[Столбец5]]="отсутствует",Таблица26[[#This Row],[Столбец5]]=""),"",VLOOKUP(A156,'Р 4. Показатели_индикаторы'!$A$9:$J$103,4,FALSE))</f>
        <v/>
      </c>
      <c r="K156" s="6" t="str">
        <f>IF(OR(Таблица26[[#This Row],[Столбец1]]="",Таблица26[[#This Row],[Столбец5]]="",Таблица26[[#This Row],[Столбец5]]="отсутствует"),"",VLOOKUP(A156,'Р 4. Показатели_индикаторы'!$A$9:$J$103,5,FALSE))</f>
        <v/>
      </c>
      <c r="L156" s="6" t="str">
        <f>IF(OR(Таблица26[[#This Row],[Столбец1]]="",Таблица26[[#This Row],[Столбец5]]="",Таблица26[[#This Row],[Столбец5]]="отсутствует"),"",VLOOKUP(A156,'Р 4. Показатели_индикаторы'!$A$9:$J$103,6,FALSE))</f>
        <v/>
      </c>
      <c r="M156" s="6" t="str">
        <f>IF(OR(Таблица26[[#This Row],[Столбец1]]="",Таблица26[[#This Row],[Столбец5]]="",Таблица26[[#This Row],[Столбец5]]="отсутствует"),"",VLOOKUP(A156,'Р 4. Показатели_индикаторы'!$A$9:$J$103,7,FALSE))</f>
        <v/>
      </c>
      <c r="N156" s="6" t="str">
        <f>IF(OR(Таблица26[[#This Row],[Столбец1]]="",Таблица26[[#This Row],[Столбец5]]="",Таблица26[[#This Row],[Столбец5]]="отсутствует"),"",VLOOKUP(A156,'Р 4. Показатели_индикаторы'!$A$9:$J$103,8,FALSE))</f>
        <v/>
      </c>
      <c r="O156" s="10" t="str">
        <f>IF(VLOOKUP(A156,'Р 1. "Общие сведения"'!$I$8:$L$179,4,FALSE)="","",VLOOKUP(A156,'Р 1. "Общие сведения"'!$I$8:$L$179,4,FALSE))</f>
        <v/>
      </c>
    </row>
    <row r="157" spans="1:15" x14ac:dyDescent="0.25">
      <c r="A157" s="48" t="str">
        <f>IF('Р 1. "Общие сведения"'!I157="","",'Р 1. "Общие сведения"'!I157)</f>
        <v xml:space="preserve"> </v>
      </c>
      <c r="B157" s="44" t="str">
        <f>IF('Р 1. "Общие сведения"'!J157="","",'Р 1. "Общие сведения"'!J157)</f>
        <v/>
      </c>
      <c r="C157" s="44" t="str">
        <f>IF('Р 1. "Общие сведения"'!H157="","",'Р 1. "Общие сведения"'!H157)</f>
        <v/>
      </c>
      <c r="D157" s="44" t="str">
        <f>IF('Р 1. "Общие сведения"'!D157="","",'Р 1. "Общие сведения"'!D157)</f>
        <v/>
      </c>
      <c r="E157" s="44" t="str">
        <f>IF('Р 1. "Общие сведения"'!K157="","",'Р 1. "Общие сведения"'!K157)</f>
        <v/>
      </c>
      <c r="F157" s="45" t="str">
        <f>IF(OR(Таблица26[[#This Row],[Столбец1]]="",Таблица26[[#This Row],[Столбец5]]="",),"",VLOOKUP(A157,Таблица9[#All],2,FALSE))</f>
        <v/>
      </c>
      <c r="G157" s="47" t="str">
        <f>IF(OR(Таблица26[[#This Row],[Столбец1]]="",Таблица26[[#This Row],[Столбец5]]=""),"",VLOOKUP(A157,'Р 5. Финансирование'!$A$9:$D$100,3,FALSE))</f>
        <v/>
      </c>
      <c r="H157" s="47" t="str">
        <f>IF(OR(Таблица26[[#This Row],[Столбец1]]="",Таблица26[[#This Row],[Столбец5]]=""),"",VLOOKUP(A157,'Р 5. Финансирование'!$A$9:$D$100,4,FALSE))</f>
        <v/>
      </c>
      <c r="I157" s="6" t="str">
        <f>IF(OR(Таблица26[[#This Row],[Столбец5]]="отсутствует",Таблица26[[#This Row],[Столбец5]]=""),"",VLOOKUP(A157,'Р 4. Показатели_индикаторы'!$A$9:$J$103,3,FALSE))</f>
        <v/>
      </c>
      <c r="J157" s="6" t="str">
        <f>IF(OR(Таблица26[[#This Row],[Столбец5]]="отсутствует",Таблица26[[#This Row],[Столбец5]]=""),"",VLOOKUP(A157,'Р 4. Показатели_индикаторы'!$A$9:$J$103,4,FALSE))</f>
        <v/>
      </c>
      <c r="K157" s="6" t="str">
        <f>IF(OR(Таблица26[[#This Row],[Столбец1]]="",Таблица26[[#This Row],[Столбец5]]="",Таблица26[[#This Row],[Столбец5]]="отсутствует"),"",VLOOKUP(A157,'Р 4. Показатели_индикаторы'!$A$9:$J$103,5,FALSE))</f>
        <v/>
      </c>
      <c r="L157" s="6" t="str">
        <f>IF(OR(Таблица26[[#This Row],[Столбец1]]="",Таблица26[[#This Row],[Столбец5]]="",Таблица26[[#This Row],[Столбец5]]="отсутствует"),"",VLOOKUP(A157,'Р 4. Показатели_индикаторы'!$A$9:$J$103,6,FALSE))</f>
        <v/>
      </c>
      <c r="M157" s="6" t="str">
        <f>IF(OR(Таблица26[[#This Row],[Столбец1]]="",Таблица26[[#This Row],[Столбец5]]="",Таблица26[[#This Row],[Столбец5]]="отсутствует"),"",VLOOKUP(A157,'Р 4. Показатели_индикаторы'!$A$9:$J$103,7,FALSE))</f>
        <v/>
      </c>
      <c r="N157" s="6" t="str">
        <f>IF(OR(Таблица26[[#This Row],[Столбец1]]="",Таблица26[[#This Row],[Столбец5]]="",Таблица26[[#This Row],[Столбец5]]="отсутствует"),"",VLOOKUP(A157,'Р 4. Показатели_индикаторы'!$A$9:$J$103,8,FALSE))</f>
        <v/>
      </c>
      <c r="O157" s="10" t="str">
        <f>IF(VLOOKUP(A157,'Р 1. "Общие сведения"'!$I$8:$L$179,4,FALSE)="","",VLOOKUP(A157,'Р 1. "Общие сведения"'!$I$8:$L$179,4,FALSE))</f>
        <v/>
      </c>
    </row>
    <row r="158" spans="1:15" x14ac:dyDescent="0.25">
      <c r="A158" s="48" t="str">
        <f>IF('Р 1. "Общие сведения"'!I158="","",'Р 1. "Общие сведения"'!I158)</f>
        <v xml:space="preserve"> </v>
      </c>
      <c r="B158" s="44" t="str">
        <f>IF('Р 1. "Общие сведения"'!J158="","",'Р 1. "Общие сведения"'!J158)</f>
        <v/>
      </c>
      <c r="C158" s="44" t="str">
        <f>IF('Р 1. "Общие сведения"'!H158="","",'Р 1. "Общие сведения"'!H158)</f>
        <v/>
      </c>
      <c r="D158" s="44" t="str">
        <f>IF('Р 1. "Общие сведения"'!D158="","",'Р 1. "Общие сведения"'!D158)</f>
        <v/>
      </c>
      <c r="E158" s="44" t="str">
        <f>IF('Р 1. "Общие сведения"'!K158="","",'Р 1. "Общие сведения"'!K158)</f>
        <v/>
      </c>
      <c r="F158" s="45" t="str">
        <f>IF(OR(Таблица26[[#This Row],[Столбец1]]="",Таблица26[[#This Row],[Столбец5]]="",),"",VLOOKUP(A158,Таблица9[#All],2,FALSE))</f>
        <v/>
      </c>
      <c r="G158" s="47" t="str">
        <f>IF(OR(Таблица26[[#This Row],[Столбец1]]="",Таблица26[[#This Row],[Столбец5]]=""),"",VLOOKUP(A158,'Р 5. Финансирование'!$A$9:$D$100,3,FALSE))</f>
        <v/>
      </c>
      <c r="H158" s="47" t="str">
        <f>IF(OR(Таблица26[[#This Row],[Столбец1]]="",Таблица26[[#This Row],[Столбец5]]=""),"",VLOOKUP(A158,'Р 5. Финансирование'!$A$9:$D$100,4,FALSE))</f>
        <v/>
      </c>
      <c r="I158" s="6" t="str">
        <f>IF(OR(Таблица26[[#This Row],[Столбец5]]="отсутствует",Таблица26[[#This Row],[Столбец5]]=""),"",VLOOKUP(A158,'Р 4. Показатели_индикаторы'!$A$9:$J$103,3,FALSE))</f>
        <v/>
      </c>
      <c r="J158" s="6" t="str">
        <f>IF(OR(Таблица26[[#This Row],[Столбец5]]="отсутствует",Таблица26[[#This Row],[Столбец5]]=""),"",VLOOKUP(A158,'Р 4. Показатели_индикаторы'!$A$9:$J$103,4,FALSE))</f>
        <v/>
      </c>
      <c r="K158" s="6" t="str">
        <f>IF(OR(Таблица26[[#This Row],[Столбец1]]="",Таблица26[[#This Row],[Столбец5]]="",Таблица26[[#This Row],[Столбец5]]="отсутствует"),"",VLOOKUP(A158,'Р 4. Показатели_индикаторы'!$A$9:$J$103,5,FALSE))</f>
        <v/>
      </c>
      <c r="L158" s="6" t="str">
        <f>IF(OR(Таблица26[[#This Row],[Столбец1]]="",Таблица26[[#This Row],[Столбец5]]="",Таблица26[[#This Row],[Столбец5]]="отсутствует"),"",VLOOKUP(A158,'Р 4. Показатели_индикаторы'!$A$9:$J$103,6,FALSE))</f>
        <v/>
      </c>
      <c r="M158" s="6" t="str">
        <f>IF(OR(Таблица26[[#This Row],[Столбец1]]="",Таблица26[[#This Row],[Столбец5]]="",Таблица26[[#This Row],[Столбец5]]="отсутствует"),"",VLOOKUP(A158,'Р 4. Показатели_индикаторы'!$A$9:$J$103,7,FALSE))</f>
        <v/>
      </c>
      <c r="N158" s="6" t="str">
        <f>IF(OR(Таблица26[[#This Row],[Столбец1]]="",Таблица26[[#This Row],[Столбец5]]="",Таблица26[[#This Row],[Столбец5]]="отсутствует"),"",VLOOKUP(A158,'Р 4. Показатели_индикаторы'!$A$9:$J$103,8,FALSE))</f>
        <v/>
      </c>
      <c r="O158" s="10" t="str">
        <f>IF(VLOOKUP(A158,'Р 1. "Общие сведения"'!$I$8:$L$179,4,FALSE)="","",VLOOKUP(A158,'Р 1. "Общие сведения"'!$I$8:$L$179,4,FALSE))</f>
        <v/>
      </c>
    </row>
    <row r="159" spans="1:15" x14ac:dyDescent="0.25">
      <c r="A159" s="48" t="str">
        <f>IF('Р 1. "Общие сведения"'!I159="","",'Р 1. "Общие сведения"'!I159)</f>
        <v xml:space="preserve"> </v>
      </c>
      <c r="B159" s="44" t="str">
        <f>IF('Р 1. "Общие сведения"'!J159="","",'Р 1. "Общие сведения"'!J159)</f>
        <v/>
      </c>
      <c r="C159" s="44" t="str">
        <f>IF('Р 1. "Общие сведения"'!H159="","",'Р 1. "Общие сведения"'!H159)</f>
        <v/>
      </c>
      <c r="D159" s="44" t="str">
        <f>IF('Р 1. "Общие сведения"'!D159="","",'Р 1. "Общие сведения"'!D159)</f>
        <v/>
      </c>
      <c r="E159" s="44" t="str">
        <f>IF('Р 1. "Общие сведения"'!K159="","",'Р 1. "Общие сведения"'!K159)</f>
        <v/>
      </c>
      <c r="F159" s="45" t="str">
        <f>IF(OR(Таблица26[[#This Row],[Столбец1]]="",Таблица26[[#This Row],[Столбец5]]="",),"",VLOOKUP(A159,Таблица9[#All],2,FALSE))</f>
        <v/>
      </c>
      <c r="G159" s="47" t="str">
        <f>IF(OR(Таблица26[[#This Row],[Столбец1]]="",Таблица26[[#This Row],[Столбец5]]=""),"",VLOOKUP(A159,'Р 5. Финансирование'!$A$9:$D$100,3,FALSE))</f>
        <v/>
      </c>
      <c r="H159" s="47" t="str">
        <f>IF(OR(Таблица26[[#This Row],[Столбец1]]="",Таблица26[[#This Row],[Столбец5]]=""),"",VLOOKUP(A159,'Р 5. Финансирование'!$A$9:$D$100,4,FALSE))</f>
        <v/>
      </c>
      <c r="I159" s="6" t="str">
        <f>IF(OR(Таблица26[[#This Row],[Столбец5]]="отсутствует",Таблица26[[#This Row],[Столбец5]]=""),"",VLOOKUP(A159,'Р 4. Показатели_индикаторы'!$A$9:$J$103,3,FALSE))</f>
        <v/>
      </c>
      <c r="J159" s="6" t="str">
        <f>IF(OR(Таблица26[[#This Row],[Столбец5]]="отсутствует",Таблица26[[#This Row],[Столбец5]]=""),"",VLOOKUP(A159,'Р 4. Показатели_индикаторы'!$A$9:$J$103,4,FALSE))</f>
        <v/>
      </c>
      <c r="K159" s="6" t="str">
        <f>IF(OR(Таблица26[[#This Row],[Столбец1]]="",Таблица26[[#This Row],[Столбец5]]="",Таблица26[[#This Row],[Столбец5]]="отсутствует"),"",VLOOKUP(A159,'Р 4. Показатели_индикаторы'!$A$9:$J$103,5,FALSE))</f>
        <v/>
      </c>
      <c r="L159" s="6" t="str">
        <f>IF(OR(Таблица26[[#This Row],[Столбец1]]="",Таблица26[[#This Row],[Столбец5]]="",Таблица26[[#This Row],[Столбец5]]="отсутствует"),"",VLOOKUP(A159,'Р 4. Показатели_индикаторы'!$A$9:$J$103,6,FALSE))</f>
        <v/>
      </c>
      <c r="M159" s="6" t="str">
        <f>IF(OR(Таблица26[[#This Row],[Столбец1]]="",Таблица26[[#This Row],[Столбец5]]="",Таблица26[[#This Row],[Столбец5]]="отсутствует"),"",VLOOKUP(A159,'Р 4. Показатели_индикаторы'!$A$9:$J$103,7,FALSE))</f>
        <v/>
      </c>
      <c r="N159" s="6" t="str">
        <f>IF(OR(Таблица26[[#This Row],[Столбец1]]="",Таблица26[[#This Row],[Столбец5]]="",Таблица26[[#This Row],[Столбец5]]="отсутствует"),"",VLOOKUP(A159,'Р 4. Показатели_индикаторы'!$A$9:$J$103,8,FALSE))</f>
        <v/>
      </c>
      <c r="O159" s="10" t="str">
        <f>IF(VLOOKUP(A159,'Р 1. "Общие сведения"'!$I$8:$L$179,4,FALSE)="","",VLOOKUP(A159,'Р 1. "Общие сведения"'!$I$8:$L$179,4,FALSE))</f>
        <v/>
      </c>
    </row>
    <row r="160" spans="1:15" x14ac:dyDescent="0.25">
      <c r="A160" s="48" t="str">
        <f>IF('Р 1. "Общие сведения"'!I160="","",'Р 1. "Общие сведения"'!I160)</f>
        <v xml:space="preserve"> </v>
      </c>
      <c r="B160" s="44" t="str">
        <f>IF('Р 1. "Общие сведения"'!J160="","",'Р 1. "Общие сведения"'!J160)</f>
        <v/>
      </c>
      <c r="C160" s="44" t="str">
        <f>IF('Р 1. "Общие сведения"'!H160="","",'Р 1. "Общие сведения"'!H160)</f>
        <v/>
      </c>
      <c r="D160" s="44" t="str">
        <f>IF('Р 1. "Общие сведения"'!D160="","",'Р 1. "Общие сведения"'!D160)</f>
        <v/>
      </c>
      <c r="E160" s="44" t="str">
        <f>IF('Р 1. "Общие сведения"'!K160="","",'Р 1. "Общие сведения"'!K160)</f>
        <v/>
      </c>
      <c r="F160" s="45" t="str">
        <f>IF(OR(Таблица26[[#This Row],[Столбец1]]="",Таблица26[[#This Row],[Столбец5]]="",),"",VLOOKUP(A160,Таблица9[#All],2,FALSE))</f>
        <v/>
      </c>
      <c r="G160" s="47" t="str">
        <f>IF(OR(Таблица26[[#This Row],[Столбец1]]="",Таблица26[[#This Row],[Столбец5]]=""),"",VLOOKUP(A160,'Р 5. Финансирование'!$A$9:$D$100,3,FALSE))</f>
        <v/>
      </c>
      <c r="H160" s="47" t="str">
        <f>IF(OR(Таблица26[[#This Row],[Столбец1]]="",Таблица26[[#This Row],[Столбец5]]=""),"",VLOOKUP(A160,'Р 5. Финансирование'!$A$9:$D$100,4,FALSE))</f>
        <v/>
      </c>
      <c r="I160" s="6" t="str">
        <f>IF(OR(Таблица26[[#This Row],[Столбец5]]="отсутствует",Таблица26[[#This Row],[Столбец5]]=""),"",VLOOKUP(A160,'Р 4. Показатели_индикаторы'!$A$9:$J$103,3,FALSE))</f>
        <v/>
      </c>
      <c r="J160" s="6" t="str">
        <f>IF(OR(Таблица26[[#This Row],[Столбец5]]="отсутствует",Таблица26[[#This Row],[Столбец5]]=""),"",VLOOKUP(A160,'Р 4. Показатели_индикаторы'!$A$9:$J$103,4,FALSE))</f>
        <v/>
      </c>
      <c r="K160" s="6" t="str">
        <f>IF(OR(Таблица26[[#This Row],[Столбец1]]="",Таблица26[[#This Row],[Столбец5]]="",Таблица26[[#This Row],[Столбец5]]="отсутствует"),"",VLOOKUP(A160,'Р 4. Показатели_индикаторы'!$A$9:$J$103,5,FALSE))</f>
        <v/>
      </c>
      <c r="L160" s="6" t="str">
        <f>IF(OR(Таблица26[[#This Row],[Столбец1]]="",Таблица26[[#This Row],[Столбец5]]="",Таблица26[[#This Row],[Столбец5]]="отсутствует"),"",VLOOKUP(A160,'Р 4. Показатели_индикаторы'!$A$9:$J$103,6,FALSE))</f>
        <v/>
      </c>
      <c r="M160" s="6" t="str">
        <f>IF(OR(Таблица26[[#This Row],[Столбец1]]="",Таблица26[[#This Row],[Столбец5]]="",Таблица26[[#This Row],[Столбец5]]="отсутствует"),"",VLOOKUP(A160,'Р 4. Показатели_индикаторы'!$A$9:$J$103,7,FALSE))</f>
        <v/>
      </c>
      <c r="N160" s="6" t="str">
        <f>IF(OR(Таблица26[[#This Row],[Столбец1]]="",Таблица26[[#This Row],[Столбец5]]="",Таблица26[[#This Row],[Столбец5]]="отсутствует"),"",VLOOKUP(A160,'Р 4. Показатели_индикаторы'!$A$9:$J$103,8,FALSE))</f>
        <v/>
      </c>
      <c r="O160" s="10" t="str">
        <f>IF(VLOOKUP(A160,'Р 1. "Общие сведения"'!$I$8:$L$179,4,FALSE)="","",VLOOKUP(A160,'Р 1. "Общие сведения"'!$I$8:$L$179,4,FALSE))</f>
        <v/>
      </c>
    </row>
    <row r="161" spans="1:15" x14ac:dyDescent="0.25">
      <c r="A161" s="48" t="str">
        <f>IF('Р 1. "Общие сведения"'!I161="","",'Р 1. "Общие сведения"'!I161)</f>
        <v xml:space="preserve"> </v>
      </c>
      <c r="B161" s="44" t="str">
        <f>IF('Р 1. "Общие сведения"'!J161="","",'Р 1. "Общие сведения"'!J161)</f>
        <v/>
      </c>
      <c r="C161" s="44" t="str">
        <f>IF('Р 1. "Общие сведения"'!H161="","",'Р 1. "Общие сведения"'!H161)</f>
        <v/>
      </c>
      <c r="D161" s="44" t="str">
        <f>IF('Р 1. "Общие сведения"'!D161="","",'Р 1. "Общие сведения"'!D161)</f>
        <v/>
      </c>
      <c r="E161" s="44" t="str">
        <f>IF('Р 1. "Общие сведения"'!K161="","",'Р 1. "Общие сведения"'!K161)</f>
        <v/>
      </c>
      <c r="F161" s="45" t="str">
        <f>IF(OR(Таблица26[[#This Row],[Столбец1]]="",Таблица26[[#This Row],[Столбец5]]="",),"",VLOOKUP(A161,Таблица9[#All],2,FALSE))</f>
        <v/>
      </c>
      <c r="G161" s="47" t="str">
        <f>IF(OR(Таблица26[[#This Row],[Столбец1]]="",Таблица26[[#This Row],[Столбец5]]=""),"",VLOOKUP(A161,'Р 5. Финансирование'!$A$9:$D$100,3,FALSE))</f>
        <v/>
      </c>
      <c r="H161" s="47" t="str">
        <f>IF(OR(Таблица26[[#This Row],[Столбец1]]="",Таблица26[[#This Row],[Столбец5]]=""),"",VLOOKUP(A161,'Р 5. Финансирование'!$A$9:$D$100,4,FALSE))</f>
        <v/>
      </c>
      <c r="I161" s="6" t="str">
        <f>IF(OR(Таблица26[[#This Row],[Столбец5]]="отсутствует",Таблица26[[#This Row],[Столбец5]]=""),"",VLOOKUP(A161,'Р 4. Показатели_индикаторы'!$A$9:$J$103,3,FALSE))</f>
        <v/>
      </c>
      <c r="J161" s="6" t="str">
        <f>IF(OR(Таблица26[[#This Row],[Столбец5]]="отсутствует",Таблица26[[#This Row],[Столбец5]]=""),"",VLOOKUP(A161,'Р 4. Показатели_индикаторы'!$A$9:$J$103,4,FALSE))</f>
        <v/>
      </c>
      <c r="K161" s="6" t="str">
        <f>IF(OR(Таблица26[[#This Row],[Столбец1]]="",Таблица26[[#This Row],[Столбец5]]="",Таблица26[[#This Row],[Столбец5]]="отсутствует"),"",VLOOKUP(A161,'Р 4. Показатели_индикаторы'!$A$9:$J$103,5,FALSE))</f>
        <v/>
      </c>
      <c r="L161" s="6" t="str">
        <f>IF(OR(Таблица26[[#This Row],[Столбец1]]="",Таблица26[[#This Row],[Столбец5]]="",Таблица26[[#This Row],[Столбец5]]="отсутствует"),"",VLOOKUP(A161,'Р 4. Показатели_индикаторы'!$A$9:$J$103,6,FALSE))</f>
        <v/>
      </c>
      <c r="M161" s="6" t="str">
        <f>IF(OR(Таблица26[[#This Row],[Столбец1]]="",Таблица26[[#This Row],[Столбец5]]="",Таблица26[[#This Row],[Столбец5]]="отсутствует"),"",VLOOKUP(A161,'Р 4. Показатели_индикаторы'!$A$9:$J$103,7,FALSE))</f>
        <v/>
      </c>
      <c r="N161" s="6" t="str">
        <f>IF(OR(Таблица26[[#This Row],[Столбец1]]="",Таблица26[[#This Row],[Столбец5]]="",Таблица26[[#This Row],[Столбец5]]="отсутствует"),"",VLOOKUP(A161,'Р 4. Показатели_индикаторы'!$A$9:$J$103,8,FALSE))</f>
        <v/>
      </c>
      <c r="O161" s="10" t="str">
        <f>IF(VLOOKUP(A161,'Р 1. "Общие сведения"'!$I$8:$L$179,4,FALSE)="","",VLOOKUP(A161,'Р 1. "Общие сведения"'!$I$8:$L$179,4,FALSE))</f>
        <v/>
      </c>
    </row>
    <row r="162" spans="1:15" x14ac:dyDescent="0.25">
      <c r="A162" s="48" t="str">
        <f>IF('Р 1. "Общие сведения"'!I162="","",'Р 1. "Общие сведения"'!I162)</f>
        <v xml:space="preserve"> </v>
      </c>
      <c r="B162" s="44" t="str">
        <f>IF('Р 1. "Общие сведения"'!J162="","",'Р 1. "Общие сведения"'!J162)</f>
        <v/>
      </c>
      <c r="C162" s="44" t="str">
        <f>IF('Р 1. "Общие сведения"'!H162="","",'Р 1. "Общие сведения"'!H162)</f>
        <v/>
      </c>
      <c r="D162" s="44" t="str">
        <f>IF('Р 1. "Общие сведения"'!D162="","",'Р 1. "Общие сведения"'!D162)</f>
        <v/>
      </c>
      <c r="E162" s="44" t="str">
        <f>IF('Р 1. "Общие сведения"'!K162="","",'Р 1. "Общие сведения"'!K162)</f>
        <v/>
      </c>
      <c r="F162" s="45" t="str">
        <f>IF(OR(Таблица26[[#This Row],[Столбец1]]="",Таблица26[[#This Row],[Столбец5]]="",),"",VLOOKUP(A162,Таблица9[#All],2,FALSE))</f>
        <v/>
      </c>
      <c r="G162" s="47" t="str">
        <f>IF(OR(Таблица26[[#This Row],[Столбец1]]="",Таблица26[[#This Row],[Столбец5]]=""),"",VLOOKUP(A162,'Р 5. Финансирование'!$A$9:$D$100,3,FALSE))</f>
        <v/>
      </c>
      <c r="H162" s="47" t="str">
        <f>IF(OR(Таблица26[[#This Row],[Столбец1]]="",Таблица26[[#This Row],[Столбец5]]=""),"",VLOOKUP(A162,'Р 5. Финансирование'!$A$9:$D$100,4,FALSE))</f>
        <v/>
      </c>
      <c r="I162" s="6" t="str">
        <f>IF(OR(Таблица26[[#This Row],[Столбец5]]="отсутствует",Таблица26[[#This Row],[Столбец5]]=""),"",VLOOKUP(A162,'Р 4. Показатели_индикаторы'!$A$9:$J$103,3,FALSE))</f>
        <v/>
      </c>
      <c r="J162" s="6" t="str">
        <f>IF(OR(Таблица26[[#This Row],[Столбец5]]="отсутствует",Таблица26[[#This Row],[Столбец5]]=""),"",VLOOKUP(A162,'Р 4. Показатели_индикаторы'!$A$9:$J$103,4,FALSE))</f>
        <v/>
      </c>
      <c r="K162" s="6" t="str">
        <f>IF(OR(Таблица26[[#This Row],[Столбец1]]="",Таблица26[[#This Row],[Столбец5]]="",Таблица26[[#This Row],[Столбец5]]="отсутствует"),"",VLOOKUP(A162,'Р 4. Показатели_индикаторы'!$A$9:$J$103,5,FALSE))</f>
        <v/>
      </c>
      <c r="L162" s="6" t="str">
        <f>IF(OR(Таблица26[[#This Row],[Столбец1]]="",Таблица26[[#This Row],[Столбец5]]="",Таблица26[[#This Row],[Столбец5]]="отсутствует"),"",VLOOKUP(A162,'Р 4. Показатели_индикаторы'!$A$9:$J$103,6,FALSE))</f>
        <v/>
      </c>
      <c r="M162" s="6" t="str">
        <f>IF(OR(Таблица26[[#This Row],[Столбец1]]="",Таблица26[[#This Row],[Столбец5]]="",Таблица26[[#This Row],[Столбец5]]="отсутствует"),"",VLOOKUP(A162,'Р 4. Показатели_индикаторы'!$A$9:$J$103,7,FALSE))</f>
        <v/>
      </c>
      <c r="N162" s="6" t="str">
        <f>IF(OR(Таблица26[[#This Row],[Столбец1]]="",Таблица26[[#This Row],[Столбец5]]="",Таблица26[[#This Row],[Столбец5]]="отсутствует"),"",VLOOKUP(A162,'Р 4. Показатели_индикаторы'!$A$9:$J$103,8,FALSE))</f>
        <v/>
      </c>
      <c r="O162" s="10" t="str">
        <f>IF(VLOOKUP(A162,'Р 1. "Общие сведения"'!$I$8:$L$179,4,FALSE)="","",VLOOKUP(A162,'Р 1. "Общие сведения"'!$I$8:$L$179,4,FALSE))</f>
        <v/>
      </c>
    </row>
    <row r="163" spans="1:15" x14ac:dyDescent="0.25">
      <c r="A163" s="48" t="str">
        <f>IF('Р 1. "Общие сведения"'!I163="","",'Р 1. "Общие сведения"'!I163)</f>
        <v xml:space="preserve"> </v>
      </c>
      <c r="B163" s="44" t="str">
        <f>IF('Р 1. "Общие сведения"'!J163="","",'Р 1. "Общие сведения"'!J163)</f>
        <v/>
      </c>
      <c r="C163" s="44" t="str">
        <f>IF('Р 1. "Общие сведения"'!H163="","",'Р 1. "Общие сведения"'!H163)</f>
        <v/>
      </c>
      <c r="D163" s="44" t="str">
        <f>IF('Р 1. "Общие сведения"'!D163="","",'Р 1. "Общие сведения"'!D163)</f>
        <v/>
      </c>
      <c r="E163" s="44" t="str">
        <f>IF('Р 1. "Общие сведения"'!K163="","",'Р 1. "Общие сведения"'!K163)</f>
        <v/>
      </c>
      <c r="F163" s="45" t="str">
        <f>IF(OR(Таблица26[[#This Row],[Столбец1]]="",Таблица26[[#This Row],[Столбец5]]="",),"",VLOOKUP(A163,Таблица9[#All],2,FALSE))</f>
        <v/>
      </c>
      <c r="G163" s="47" t="str">
        <f>IF(OR(Таблица26[[#This Row],[Столбец1]]="",Таблица26[[#This Row],[Столбец5]]=""),"",VLOOKUP(A163,'Р 5. Финансирование'!$A$9:$D$100,3,FALSE))</f>
        <v/>
      </c>
      <c r="H163" s="47" t="str">
        <f>IF(OR(Таблица26[[#This Row],[Столбец1]]="",Таблица26[[#This Row],[Столбец5]]=""),"",VLOOKUP(A163,'Р 5. Финансирование'!$A$9:$D$100,4,FALSE))</f>
        <v/>
      </c>
      <c r="I163" s="6" t="str">
        <f>IF(OR(Таблица26[[#This Row],[Столбец5]]="отсутствует",Таблица26[[#This Row],[Столбец5]]=""),"",VLOOKUP(A163,'Р 4. Показатели_индикаторы'!$A$9:$J$103,3,FALSE))</f>
        <v/>
      </c>
      <c r="J163" s="6" t="str">
        <f>IF(OR(Таблица26[[#This Row],[Столбец5]]="отсутствует",Таблица26[[#This Row],[Столбец5]]=""),"",VLOOKUP(A163,'Р 4. Показатели_индикаторы'!$A$9:$J$103,4,FALSE))</f>
        <v/>
      </c>
      <c r="K163" s="6" t="str">
        <f>IF(OR(Таблица26[[#This Row],[Столбец1]]="",Таблица26[[#This Row],[Столбец5]]="",Таблица26[[#This Row],[Столбец5]]="отсутствует"),"",VLOOKUP(A163,'Р 4. Показатели_индикаторы'!$A$9:$J$103,5,FALSE))</f>
        <v/>
      </c>
      <c r="L163" s="6" t="str">
        <f>IF(OR(Таблица26[[#This Row],[Столбец1]]="",Таблица26[[#This Row],[Столбец5]]="",Таблица26[[#This Row],[Столбец5]]="отсутствует"),"",VLOOKUP(A163,'Р 4. Показатели_индикаторы'!$A$9:$J$103,6,FALSE))</f>
        <v/>
      </c>
      <c r="M163" s="6" t="str">
        <f>IF(OR(Таблица26[[#This Row],[Столбец1]]="",Таблица26[[#This Row],[Столбец5]]="",Таблица26[[#This Row],[Столбец5]]="отсутствует"),"",VLOOKUP(A163,'Р 4. Показатели_индикаторы'!$A$9:$J$103,7,FALSE))</f>
        <v/>
      </c>
      <c r="N163" s="6" t="str">
        <f>IF(OR(Таблица26[[#This Row],[Столбец1]]="",Таблица26[[#This Row],[Столбец5]]="",Таблица26[[#This Row],[Столбец5]]="отсутствует"),"",VLOOKUP(A163,'Р 4. Показатели_индикаторы'!$A$9:$J$103,8,FALSE))</f>
        <v/>
      </c>
      <c r="O163" s="10" t="str">
        <f>IF(VLOOKUP(A163,'Р 1. "Общие сведения"'!$I$8:$L$179,4,FALSE)="","",VLOOKUP(A163,'Р 1. "Общие сведения"'!$I$8:$L$179,4,FALSE))</f>
        <v/>
      </c>
    </row>
    <row r="164" spans="1:15" x14ac:dyDescent="0.25">
      <c r="A164" s="48" t="str">
        <f>IF('Р 1. "Общие сведения"'!I164="","",'Р 1. "Общие сведения"'!I164)</f>
        <v xml:space="preserve"> </v>
      </c>
      <c r="B164" s="44" t="str">
        <f>IF('Р 1. "Общие сведения"'!J164="","",'Р 1. "Общие сведения"'!J164)</f>
        <v/>
      </c>
      <c r="C164" s="44" t="str">
        <f>IF('Р 1. "Общие сведения"'!H164="","",'Р 1. "Общие сведения"'!H164)</f>
        <v/>
      </c>
      <c r="D164" s="44" t="str">
        <f>IF('Р 1. "Общие сведения"'!D164="","",'Р 1. "Общие сведения"'!D164)</f>
        <v/>
      </c>
      <c r="E164" s="44" t="str">
        <f>IF('Р 1. "Общие сведения"'!K164="","",'Р 1. "Общие сведения"'!K164)</f>
        <v/>
      </c>
      <c r="F164" s="45" t="str">
        <f>IF(OR(Таблица26[[#This Row],[Столбец1]]="",Таблица26[[#This Row],[Столбец5]]="",),"",VLOOKUP(A164,Таблица9[#All],2,FALSE))</f>
        <v/>
      </c>
      <c r="G164" s="47" t="str">
        <f>IF(OR(Таблица26[[#This Row],[Столбец1]]="",Таблица26[[#This Row],[Столбец5]]=""),"",VLOOKUP(A164,'Р 5. Финансирование'!$A$9:$D$100,3,FALSE))</f>
        <v/>
      </c>
      <c r="H164" s="47" t="str">
        <f>IF(OR(Таблица26[[#This Row],[Столбец1]]="",Таблица26[[#This Row],[Столбец5]]=""),"",VLOOKUP(A164,'Р 5. Финансирование'!$A$9:$D$100,4,FALSE))</f>
        <v/>
      </c>
      <c r="I164" s="6" t="str">
        <f>IF(OR(Таблица26[[#This Row],[Столбец5]]="отсутствует",Таблица26[[#This Row],[Столбец5]]=""),"",VLOOKUP(A164,'Р 4. Показатели_индикаторы'!$A$9:$J$103,3,FALSE))</f>
        <v/>
      </c>
      <c r="J164" s="6" t="str">
        <f>IF(OR(Таблица26[[#This Row],[Столбец5]]="отсутствует",Таблица26[[#This Row],[Столбец5]]=""),"",VLOOKUP(A164,'Р 4. Показатели_индикаторы'!$A$9:$J$103,4,FALSE))</f>
        <v/>
      </c>
      <c r="K164" s="6" t="str">
        <f>IF(OR(Таблица26[[#This Row],[Столбец1]]="",Таблица26[[#This Row],[Столбец5]]="",Таблица26[[#This Row],[Столбец5]]="отсутствует"),"",VLOOKUP(A164,'Р 4. Показатели_индикаторы'!$A$9:$J$103,5,FALSE))</f>
        <v/>
      </c>
      <c r="L164" s="6" t="str">
        <f>IF(OR(Таблица26[[#This Row],[Столбец1]]="",Таблица26[[#This Row],[Столбец5]]="",Таблица26[[#This Row],[Столбец5]]="отсутствует"),"",VLOOKUP(A164,'Р 4. Показатели_индикаторы'!$A$9:$J$103,6,FALSE))</f>
        <v/>
      </c>
      <c r="M164" s="6" t="str">
        <f>IF(OR(Таблица26[[#This Row],[Столбец1]]="",Таблица26[[#This Row],[Столбец5]]="",Таблица26[[#This Row],[Столбец5]]="отсутствует"),"",VLOOKUP(A164,'Р 4. Показатели_индикаторы'!$A$9:$J$103,7,FALSE))</f>
        <v/>
      </c>
      <c r="N164" s="6" t="str">
        <f>IF(OR(Таблица26[[#This Row],[Столбец1]]="",Таблица26[[#This Row],[Столбец5]]="",Таблица26[[#This Row],[Столбец5]]="отсутствует"),"",VLOOKUP(A164,'Р 4. Показатели_индикаторы'!$A$9:$J$103,8,FALSE))</f>
        <v/>
      </c>
      <c r="O164" s="10" t="str">
        <f>IF(VLOOKUP(A164,'Р 1. "Общие сведения"'!$I$8:$L$179,4,FALSE)="","",VLOOKUP(A164,'Р 1. "Общие сведения"'!$I$8:$L$179,4,FALSE))</f>
        <v/>
      </c>
    </row>
    <row r="165" spans="1:15" x14ac:dyDescent="0.25">
      <c r="A165" s="48" t="str">
        <f>IF('Р 1. "Общие сведения"'!I165="","",'Р 1. "Общие сведения"'!I165)</f>
        <v xml:space="preserve"> </v>
      </c>
      <c r="B165" s="44" t="str">
        <f>IF('Р 1. "Общие сведения"'!J165="","",'Р 1. "Общие сведения"'!J165)</f>
        <v/>
      </c>
      <c r="C165" s="44" t="str">
        <f>IF('Р 1. "Общие сведения"'!H165="","",'Р 1. "Общие сведения"'!H165)</f>
        <v/>
      </c>
      <c r="D165" s="44" t="str">
        <f>IF('Р 1. "Общие сведения"'!D165="","",'Р 1. "Общие сведения"'!D165)</f>
        <v/>
      </c>
      <c r="E165" s="44" t="str">
        <f>IF('Р 1. "Общие сведения"'!K165="","",'Р 1. "Общие сведения"'!K165)</f>
        <v/>
      </c>
      <c r="F165" s="45" t="str">
        <f>IF(OR(Таблица26[[#This Row],[Столбец1]]="",Таблица26[[#This Row],[Столбец5]]="",),"",VLOOKUP(A165,Таблица9[#All],2,FALSE))</f>
        <v/>
      </c>
      <c r="G165" s="47" t="str">
        <f>IF(OR(Таблица26[[#This Row],[Столбец1]]="",Таблица26[[#This Row],[Столбец5]]=""),"",VLOOKUP(A165,'Р 5. Финансирование'!$A$9:$D$100,3,FALSE))</f>
        <v/>
      </c>
      <c r="H165" s="47" t="str">
        <f>IF(OR(Таблица26[[#This Row],[Столбец1]]="",Таблица26[[#This Row],[Столбец5]]=""),"",VLOOKUP(A165,'Р 5. Финансирование'!$A$9:$D$100,4,FALSE))</f>
        <v/>
      </c>
      <c r="I165" s="6" t="str">
        <f>IF(OR(Таблица26[[#This Row],[Столбец5]]="отсутствует",Таблица26[[#This Row],[Столбец5]]=""),"",VLOOKUP(A165,'Р 4. Показатели_индикаторы'!$A$9:$J$103,3,FALSE))</f>
        <v/>
      </c>
      <c r="J165" s="6" t="str">
        <f>IF(OR(Таблица26[[#This Row],[Столбец5]]="отсутствует",Таблица26[[#This Row],[Столбец5]]=""),"",VLOOKUP(A165,'Р 4. Показатели_индикаторы'!$A$9:$J$103,4,FALSE))</f>
        <v/>
      </c>
      <c r="K165" s="6" t="str">
        <f>IF(OR(Таблица26[[#This Row],[Столбец1]]="",Таблица26[[#This Row],[Столбец5]]="",Таблица26[[#This Row],[Столбец5]]="отсутствует"),"",VLOOKUP(A165,'Р 4. Показатели_индикаторы'!$A$9:$J$103,5,FALSE))</f>
        <v/>
      </c>
      <c r="L165" s="6" t="str">
        <f>IF(OR(Таблица26[[#This Row],[Столбец1]]="",Таблица26[[#This Row],[Столбец5]]="",Таблица26[[#This Row],[Столбец5]]="отсутствует"),"",VLOOKUP(A165,'Р 4. Показатели_индикаторы'!$A$9:$J$103,6,FALSE))</f>
        <v/>
      </c>
      <c r="M165" s="6" t="str">
        <f>IF(OR(Таблица26[[#This Row],[Столбец1]]="",Таблица26[[#This Row],[Столбец5]]="",Таблица26[[#This Row],[Столбец5]]="отсутствует"),"",VLOOKUP(A165,'Р 4. Показатели_индикаторы'!$A$9:$J$103,7,FALSE))</f>
        <v/>
      </c>
      <c r="N165" s="6" t="str">
        <f>IF(OR(Таблица26[[#This Row],[Столбец1]]="",Таблица26[[#This Row],[Столбец5]]="",Таблица26[[#This Row],[Столбец5]]="отсутствует"),"",VLOOKUP(A165,'Р 4. Показатели_индикаторы'!$A$9:$J$103,8,FALSE))</f>
        <v/>
      </c>
      <c r="O165" s="10" t="str">
        <f>IF(VLOOKUP(A165,'Р 1. "Общие сведения"'!$I$8:$L$179,4,FALSE)="","",VLOOKUP(A165,'Р 1. "Общие сведения"'!$I$8:$L$179,4,FALSE))</f>
        <v/>
      </c>
    </row>
    <row r="166" spans="1:15" x14ac:dyDescent="0.25">
      <c r="A166" s="48" t="str">
        <f>IF('Р 1. "Общие сведения"'!I166="","",'Р 1. "Общие сведения"'!I166)</f>
        <v xml:space="preserve"> </v>
      </c>
      <c r="B166" s="44" t="str">
        <f>IF('Р 1. "Общие сведения"'!J166="","",'Р 1. "Общие сведения"'!J166)</f>
        <v/>
      </c>
      <c r="C166" s="44" t="str">
        <f>IF('Р 1. "Общие сведения"'!H166="","",'Р 1. "Общие сведения"'!H166)</f>
        <v/>
      </c>
      <c r="D166" s="44" t="str">
        <f>IF('Р 1. "Общие сведения"'!D166="","",'Р 1. "Общие сведения"'!D166)</f>
        <v/>
      </c>
      <c r="E166" s="44" t="str">
        <f>IF('Р 1. "Общие сведения"'!K166="","",'Р 1. "Общие сведения"'!K166)</f>
        <v/>
      </c>
      <c r="F166" s="45" t="str">
        <f>IF(OR(Таблица26[[#This Row],[Столбец1]]="",Таблица26[[#This Row],[Столбец5]]="",),"",VLOOKUP(A166,Таблица9[#All],2,FALSE))</f>
        <v/>
      </c>
      <c r="G166" s="47" t="str">
        <f>IF(OR(Таблица26[[#This Row],[Столбец1]]="",Таблица26[[#This Row],[Столбец5]]=""),"",VLOOKUP(A166,'Р 5. Финансирование'!$A$9:$D$100,3,FALSE))</f>
        <v/>
      </c>
      <c r="H166" s="47" t="str">
        <f>IF(OR(Таблица26[[#This Row],[Столбец1]]="",Таблица26[[#This Row],[Столбец5]]=""),"",VLOOKUP(A166,'Р 5. Финансирование'!$A$9:$D$100,4,FALSE))</f>
        <v/>
      </c>
      <c r="I166" s="6" t="str">
        <f>IF(OR(Таблица26[[#This Row],[Столбец5]]="отсутствует",Таблица26[[#This Row],[Столбец5]]=""),"",VLOOKUP(A166,'Р 4. Показатели_индикаторы'!$A$9:$J$103,3,FALSE))</f>
        <v/>
      </c>
      <c r="J166" s="6" t="str">
        <f>IF(OR(Таблица26[[#This Row],[Столбец5]]="отсутствует",Таблица26[[#This Row],[Столбец5]]=""),"",VLOOKUP(A166,'Р 4. Показатели_индикаторы'!$A$9:$J$103,4,FALSE))</f>
        <v/>
      </c>
      <c r="K166" s="6" t="str">
        <f>IF(OR(Таблица26[[#This Row],[Столбец1]]="",Таблица26[[#This Row],[Столбец5]]="",Таблица26[[#This Row],[Столбец5]]="отсутствует"),"",VLOOKUP(A166,'Р 4. Показатели_индикаторы'!$A$9:$J$103,5,FALSE))</f>
        <v/>
      </c>
      <c r="L166" s="6" t="str">
        <f>IF(OR(Таблица26[[#This Row],[Столбец1]]="",Таблица26[[#This Row],[Столбец5]]="",Таблица26[[#This Row],[Столбец5]]="отсутствует"),"",VLOOKUP(A166,'Р 4. Показатели_индикаторы'!$A$9:$J$103,6,FALSE))</f>
        <v/>
      </c>
      <c r="M166" s="6" t="str">
        <f>IF(OR(Таблица26[[#This Row],[Столбец1]]="",Таблица26[[#This Row],[Столбец5]]="",Таблица26[[#This Row],[Столбец5]]="отсутствует"),"",VLOOKUP(A166,'Р 4. Показатели_индикаторы'!$A$9:$J$103,7,FALSE))</f>
        <v/>
      </c>
      <c r="N166" s="6" t="str">
        <f>IF(OR(Таблица26[[#This Row],[Столбец1]]="",Таблица26[[#This Row],[Столбец5]]="",Таблица26[[#This Row],[Столбец5]]="отсутствует"),"",VLOOKUP(A166,'Р 4. Показатели_индикаторы'!$A$9:$J$103,8,FALSE))</f>
        <v/>
      </c>
      <c r="O166" s="10" t="str">
        <f>IF(VLOOKUP(A166,'Р 1. "Общие сведения"'!$I$8:$L$179,4,FALSE)="","",VLOOKUP(A166,'Р 1. "Общие сведения"'!$I$8:$L$179,4,FALSE))</f>
        <v/>
      </c>
    </row>
    <row r="167" spans="1:15" x14ac:dyDescent="0.25">
      <c r="A167" s="48" t="str">
        <f>IF('Р 1. "Общие сведения"'!I167="","",'Р 1. "Общие сведения"'!I167)</f>
        <v xml:space="preserve"> </v>
      </c>
      <c r="B167" s="44" t="str">
        <f>IF('Р 1. "Общие сведения"'!J167="","",'Р 1. "Общие сведения"'!J167)</f>
        <v/>
      </c>
      <c r="C167" s="44" t="str">
        <f>IF('Р 1. "Общие сведения"'!H167="","",'Р 1. "Общие сведения"'!H167)</f>
        <v/>
      </c>
      <c r="D167" s="44" t="str">
        <f>IF('Р 1. "Общие сведения"'!D167="","",'Р 1. "Общие сведения"'!D167)</f>
        <v/>
      </c>
      <c r="E167" s="44" t="str">
        <f>IF('Р 1. "Общие сведения"'!K167="","",'Р 1. "Общие сведения"'!K167)</f>
        <v/>
      </c>
      <c r="F167" s="45" t="str">
        <f>IF(OR(Таблица26[[#This Row],[Столбец1]]="",Таблица26[[#This Row],[Столбец5]]="",),"",VLOOKUP(A167,Таблица9[#All],2,FALSE))</f>
        <v/>
      </c>
      <c r="G167" s="47" t="str">
        <f>IF(OR(Таблица26[[#This Row],[Столбец1]]="",Таблица26[[#This Row],[Столбец5]]=""),"",VLOOKUP(A167,'Р 5. Финансирование'!$A$9:$D$100,3,FALSE))</f>
        <v/>
      </c>
      <c r="H167" s="47" t="str">
        <f>IF(OR(Таблица26[[#This Row],[Столбец1]]="",Таблица26[[#This Row],[Столбец5]]=""),"",VLOOKUP(A167,'Р 5. Финансирование'!$A$9:$D$100,4,FALSE))</f>
        <v/>
      </c>
      <c r="I167" s="6" t="str">
        <f>IF(OR(Таблица26[[#This Row],[Столбец5]]="отсутствует",Таблица26[[#This Row],[Столбец5]]=""),"",VLOOKUP(A167,'Р 4. Показатели_индикаторы'!$A$9:$J$103,3,FALSE))</f>
        <v/>
      </c>
      <c r="J167" s="6" t="str">
        <f>IF(OR(Таблица26[[#This Row],[Столбец5]]="отсутствует",Таблица26[[#This Row],[Столбец5]]=""),"",VLOOKUP(A167,'Р 4. Показатели_индикаторы'!$A$9:$J$103,4,FALSE))</f>
        <v/>
      </c>
      <c r="K167" s="6" t="str">
        <f>IF(OR(Таблица26[[#This Row],[Столбец1]]="",Таблица26[[#This Row],[Столбец5]]="",Таблица26[[#This Row],[Столбец5]]="отсутствует"),"",VLOOKUP(A167,'Р 4. Показатели_индикаторы'!$A$9:$J$103,5,FALSE))</f>
        <v/>
      </c>
      <c r="L167" s="6" t="str">
        <f>IF(OR(Таблица26[[#This Row],[Столбец1]]="",Таблица26[[#This Row],[Столбец5]]="",Таблица26[[#This Row],[Столбец5]]="отсутствует"),"",VLOOKUP(A167,'Р 4. Показатели_индикаторы'!$A$9:$J$103,6,FALSE))</f>
        <v/>
      </c>
      <c r="M167" s="6" t="str">
        <f>IF(OR(Таблица26[[#This Row],[Столбец1]]="",Таблица26[[#This Row],[Столбец5]]="",Таблица26[[#This Row],[Столбец5]]="отсутствует"),"",VLOOKUP(A167,'Р 4. Показатели_индикаторы'!$A$9:$J$103,7,FALSE))</f>
        <v/>
      </c>
      <c r="N167" s="6" t="str">
        <f>IF(OR(Таблица26[[#This Row],[Столбец1]]="",Таблица26[[#This Row],[Столбец5]]="",Таблица26[[#This Row],[Столбец5]]="отсутствует"),"",VLOOKUP(A167,'Р 4. Показатели_индикаторы'!$A$9:$J$103,8,FALSE))</f>
        <v/>
      </c>
      <c r="O167" s="10" t="str">
        <f>IF(VLOOKUP(A167,'Р 1. "Общие сведения"'!$I$8:$L$179,4,FALSE)="","",VLOOKUP(A167,'Р 1. "Общие сведения"'!$I$8:$L$179,4,FALSE))</f>
        <v/>
      </c>
    </row>
    <row r="168" spans="1:15" x14ac:dyDescent="0.25">
      <c r="A168" s="48" t="str">
        <f>IF('Р 1. "Общие сведения"'!I168="","",'Р 1. "Общие сведения"'!I168)</f>
        <v xml:space="preserve"> </v>
      </c>
      <c r="B168" s="44" t="str">
        <f>IF('Р 1. "Общие сведения"'!J168="","",'Р 1. "Общие сведения"'!J168)</f>
        <v/>
      </c>
      <c r="C168" s="44" t="str">
        <f>IF('Р 1. "Общие сведения"'!H168="","",'Р 1. "Общие сведения"'!H168)</f>
        <v/>
      </c>
      <c r="D168" s="44" t="str">
        <f>IF('Р 1. "Общие сведения"'!D168="","",'Р 1. "Общие сведения"'!D168)</f>
        <v/>
      </c>
      <c r="E168" s="44" t="str">
        <f>IF('Р 1. "Общие сведения"'!K168="","",'Р 1. "Общие сведения"'!K168)</f>
        <v/>
      </c>
      <c r="F168" s="45" t="str">
        <f>IF(OR(Таблица26[[#This Row],[Столбец1]]="",Таблица26[[#This Row],[Столбец5]]="",),"",VLOOKUP(A168,Таблица9[#All],2,FALSE))</f>
        <v/>
      </c>
      <c r="G168" s="47" t="str">
        <f>IF(OR(Таблица26[[#This Row],[Столбец1]]="",Таблица26[[#This Row],[Столбец5]]=""),"",VLOOKUP(A168,'Р 5. Финансирование'!$A$9:$D$100,3,FALSE))</f>
        <v/>
      </c>
      <c r="H168" s="47" t="str">
        <f>IF(OR(Таблица26[[#This Row],[Столбец1]]="",Таблица26[[#This Row],[Столбец5]]=""),"",VLOOKUP(A168,'Р 5. Финансирование'!$A$9:$D$100,4,FALSE))</f>
        <v/>
      </c>
      <c r="I168" s="6" t="str">
        <f>IF(OR(Таблица26[[#This Row],[Столбец5]]="отсутствует",Таблица26[[#This Row],[Столбец5]]=""),"",VLOOKUP(A168,'Р 4. Показатели_индикаторы'!$A$9:$J$103,3,FALSE))</f>
        <v/>
      </c>
      <c r="J168" s="6" t="str">
        <f>IF(OR(Таблица26[[#This Row],[Столбец5]]="отсутствует",Таблица26[[#This Row],[Столбец5]]=""),"",VLOOKUP(A168,'Р 4. Показатели_индикаторы'!$A$9:$J$103,4,FALSE))</f>
        <v/>
      </c>
      <c r="K168" s="6" t="str">
        <f>IF(OR(Таблица26[[#This Row],[Столбец1]]="",Таблица26[[#This Row],[Столбец5]]="",Таблица26[[#This Row],[Столбец5]]="отсутствует"),"",VLOOKUP(A168,'Р 4. Показатели_индикаторы'!$A$9:$J$103,5,FALSE))</f>
        <v/>
      </c>
      <c r="L168" s="6" t="str">
        <f>IF(OR(Таблица26[[#This Row],[Столбец1]]="",Таблица26[[#This Row],[Столбец5]]="",Таблица26[[#This Row],[Столбец5]]="отсутствует"),"",VLOOKUP(A168,'Р 4. Показатели_индикаторы'!$A$9:$J$103,6,FALSE))</f>
        <v/>
      </c>
      <c r="M168" s="6" t="str">
        <f>IF(OR(Таблица26[[#This Row],[Столбец1]]="",Таблица26[[#This Row],[Столбец5]]="",Таблица26[[#This Row],[Столбец5]]="отсутствует"),"",VLOOKUP(A168,'Р 4. Показатели_индикаторы'!$A$9:$J$103,7,FALSE))</f>
        <v/>
      </c>
      <c r="N168" s="6" t="str">
        <f>IF(OR(Таблица26[[#This Row],[Столбец1]]="",Таблица26[[#This Row],[Столбец5]]="",Таблица26[[#This Row],[Столбец5]]="отсутствует"),"",VLOOKUP(A168,'Р 4. Показатели_индикаторы'!$A$9:$J$103,8,FALSE))</f>
        <v/>
      </c>
      <c r="O168" s="10" t="str">
        <f>IF(VLOOKUP(A168,'Р 1. "Общие сведения"'!$I$8:$L$179,4,FALSE)="","",VLOOKUP(A168,'Р 1. "Общие сведения"'!$I$8:$L$179,4,FALSE))</f>
        <v/>
      </c>
    </row>
    <row r="169" spans="1:15" x14ac:dyDescent="0.25">
      <c r="A169" s="48" t="str">
        <f>IF('Р 1. "Общие сведения"'!I169="","",'Р 1. "Общие сведения"'!I169)</f>
        <v xml:space="preserve"> </v>
      </c>
      <c r="B169" s="44" t="str">
        <f>IF('Р 1. "Общие сведения"'!J169="","",'Р 1. "Общие сведения"'!J169)</f>
        <v/>
      </c>
      <c r="C169" s="44" t="str">
        <f>IF('Р 1. "Общие сведения"'!H169="","",'Р 1. "Общие сведения"'!H169)</f>
        <v/>
      </c>
      <c r="D169" s="44" t="str">
        <f>IF('Р 1. "Общие сведения"'!D169="","",'Р 1. "Общие сведения"'!D169)</f>
        <v/>
      </c>
      <c r="E169" s="44" t="str">
        <f>IF('Р 1. "Общие сведения"'!K169="","",'Р 1. "Общие сведения"'!K169)</f>
        <v/>
      </c>
      <c r="F169" s="45" t="str">
        <f>IF(OR(Таблица26[[#This Row],[Столбец1]]="",Таблица26[[#This Row],[Столбец5]]="",),"",VLOOKUP(A169,Таблица9[#All],2,FALSE))</f>
        <v/>
      </c>
      <c r="G169" s="47" t="str">
        <f>IF(OR(Таблица26[[#This Row],[Столбец1]]="",Таблица26[[#This Row],[Столбец5]]=""),"",VLOOKUP(A169,'Р 5. Финансирование'!$A$9:$D$100,3,FALSE))</f>
        <v/>
      </c>
      <c r="H169" s="47" t="str">
        <f>IF(OR(Таблица26[[#This Row],[Столбец1]]="",Таблица26[[#This Row],[Столбец5]]=""),"",VLOOKUP(A169,'Р 5. Финансирование'!$A$9:$D$100,4,FALSE))</f>
        <v/>
      </c>
      <c r="I169" s="6" t="str">
        <f>IF(OR(Таблица26[[#This Row],[Столбец5]]="отсутствует",Таблица26[[#This Row],[Столбец5]]=""),"",VLOOKUP(A169,'Р 4. Показатели_индикаторы'!$A$9:$J$103,3,FALSE))</f>
        <v/>
      </c>
      <c r="J169" s="6" t="str">
        <f>IF(OR(Таблица26[[#This Row],[Столбец5]]="отсутствует",Таблица26[[#This Row],[Столбец5]]=""),"",VLOOKUP(A169,'Р 4. Показатели_индикаторы'!$A$9:$J$103,4,FALSE))</f>
        <v/>
      </c>
      <c r="K169" s="6" t="str">
        <f>IF(OR(Таблица26[[#This Row],[Столбец1]]="",Таблица26[[#This Row],[Столбец5]]="",Таблица26[[#This Row],[Столбец5]]="отсутствует"),"",VLOOKUP(A169,'Р 4. Показатели_индикаторы'!$A$9:$J$103,5,FALSE))</f>
        <v/>
      </c>
      <c r="L169" s="6" t="str">
        <f>IF(OR(Таблица26[[#This Row],[Столбец1]]="",Таблица26[[#This Row],[Столбец5]]="",Таблица26[[#This Row],[Столбец5]]="отсутствует"),"",VLOOKUP(A169,'Р 4. Показатели_индикаторы'!$A$9:$J$103,6,FALSE))</f>
        <v/>
      </c>
      <c r="M169" s="6" t="str">
        <f>IF(OR(Таблица26[[#This Row],[Столбец1]]="",Таблица26[[#This Row],[Столбец5]]="",Таблица26[[#This Row],[Столбец5]]="отсутствует"),"",VLOOKUP(A169,'Р 4. Показатели_индикаторы'!$A$9:$J$103,7,FALSE))</f>
        <v/>
      </c>
      <c r="N169" s="6" t="str">
        <f>IF(OR(Таблица26[[#This Row],[Столбец1]]="",Таблица26[[#This Row],[Столбец5]]="",Таблица26[[#This Row],[Столбец5]]="отсутствует"),"",VLOOKUP(A169,'Р 4. Показатели_индикаторы'!$A$9:$J$103,8,FALSE))</f>
        <v/>
      </c>
      <c r="O169" s="10" t="str">
        <f>IF(VLOOKUP(A169,'Р 1. "Общие сведения"'!$I$8:$L$179,4,FALSE)="","",VLOOKUP(A169,'Р 1. "Общие сведения"'!$I$8:$L$179,4,FALSE))</f>
        <v/>
      </c>
    </row>
    <row r="170" spans="1:15" x14ac:dyDescent="0.25">
      <c r="A170" s="48" t="str">
        <f>IF('Р 1. "Общие сведения"'!I170="","",'Р 1. "Общие сведения"'!I170)</f>
        <v xml:space="preserve"> </v>
      </c>
      <c r="B170" s="44" t="str">
        <f>IF('Р 1. "Общие сведения"'!J170="","",'Р 1. "Общие сведения"'!J170)</f>
        <v/>
      </c>
      <c r="C170" s="44" t="str">
        <f>IF('Р 1. "Общие сведения"'!H170="","",'Р 1. "Общие сведения"'!H170)</f>
        <v/>
      </c>
      <c r="D170" s="44" t="str">
        <f>IF('Р 1. "Общие сведения"'!D170="","",'Р 1. "Общие сведения"'!D170)</f>
        <v/>
      </c>
      <c r="E170" s="44" t="str">
        <f>IF('Р 1. "Общие сведения"'!K170="","",'Р 1. "Общие сведения"'!K170)</f>
        <v/>
      </c>
      <c r="F170" s="45" t="str">
        <f>IF(OR(Таблица26[[#This Row],[Столбец1]]="",Таблица26[[#This Row],[Столбец5]]="",),"",VLOOKUP(A170,Таблица9[#All],2,FALSE))</f>
        <v/>
      </c>
      <c r="G170" s="47" t="str">
        <f>IF(OR(Таблица26[[#This Row],[Столбец1]]="",Таблица26[[#This Row],[Столбец5]]=""),"",VLOOKUP(A170,'Р 5. Финансирование'!$A$9:$D$100,3,FALSE))</f>
        <v/>
      </c>
      <c r="H170" s="47" t="str">
        <f>IF(OR(Таблица26[[#This Row],[Столбец1]]="",Таблица26[[#This Row],[Столбец5]]=""),"",VLOOKUP(A170,'Р 5. Финансирование'!$A$9:$D$100,4,FALSE))</f>
        <v/>
      </c>
      <c r="I170" s="6" t="str">
        <f>IF(OR(Таблица26[[#This Row],[Столбец5]]="отсутствует",Таблица26[[#This Row],[Столбец5]]=""),"",VLOOKUP(A170,'Р 4. Показатели_индикаторы'!$A$9:$J$103,3,FALSE))</f>
        <v/>
      </c>
      <c r="J170" s="6" t="str">
        <f>IF(OR(Таблица26[[#This Row],[Столбец5]]="отсутствует",Таблица26[[#This Row],[Столбец5]]=""),"",VLOOKUP(A170,'Р 4. Показатели_индикаторы'!$A$9:$J$103,4,FALSE))</f>
        <v/>
      </c>
      <c r="K170" s="6" t="str">
        <f>IF(OR(Таблица26[[#This Row],[Столбец1]]="",Таблица26[[#This Row],[Столбец5]]="",Таблица26[[#This Row],[Столбец5]]="отсутствует"),"",VLOOKUP(A170,'Р 4. Показатели_индикаторы'!$A$9:$J$103,5,FALSE))</f>
        <v/>
      </c>
      <c r="L170" s="6" t="str">
        <f>IF(OR(Таблица26[[#This Row],[Столбец1]]="",Таблица26[[#This Row],[Столбец5]]="",Таблица26[[#This Row],[Столбец5]]="отсутствует"),"",VLOOKUP(A170,'Р 4. Показатели_индикаторы'!$A$9:$J$103,6,FALSE))</f>
        <v/>
      </c>
      <c r="M170" s="6" t="str">
        <f>IF(OR(Таблица26[[#This Row],[Столбец1]]="",Таблица26[[#This Row],[Столбец5]]="",Таблица26[[#This Row],[Столбец5]]="отсутствует"),"",VLOOKUP(A170,'Р 4. Показатели_индикаторы'!$A$9:$J$103,7,FALSE))</f>
        <v/>
      </c>
      <c r="N170" s="6" t="str">
        <f>IF(OR(Таблица26[[#This Row],[Столбец1]]="",Таблица26[[#This Row],[Столбец5]]="",Таблица26[[#This Row],[Столбец5]]="отсутствует"),"",VLOOKUP(A170,'Р 4. Показатели_индикаторы'!$A$9:$J$103,8,FALSE))</f>
        <v/>
      </c>
      <c r="O170" s="10" t="str">
        <f>IF(VLOOKUP(A170,'Р 1. "Общие сведения"'!$I$8:$L$179,4,FALSE)="","",VLOOKUP(A170,'Р 1. "Общие сведения"'!$I$8:$L$179,4,FALSE))</f>
        <v/>
      </c>
    </row>
    <row r="171" spans="1:15" x14ac:dyDescent="0.25">
      <c r="A171" s="48" t="str">
        <f>IF('Р 1. "Общие сведения"'!I171="","",'Р 1. "Общие сведения"'!I171)</f>
        <v xml:space="preserve"> </v>
      </c>
      <c r="B171" s="44" t="str">
        <f>IF('Р 1. "Общие сведения"'!J171="","",'Р 1. "Общие сведения"'!J171)</f>
        <v/>
      </c>
      <c r="C171" s="44" t="str">
        <f>IF('Р 1. "Общие сведения"'!H171="","",'Р 1. "Общие сведения"'!H171)</f>
        <v/>
      </c>
      <c r="D171" s="44" t="str">
        <f>IF('Р 1. "Общие сведения"'!D171="","",'Р 1. "Общие сведения"'!D171)</f>
        <v/>
      </c>
      <c r="E171" s="44" t="str">
        <f>IF('Р 1. "Общие сведения"'!K171="","",'Р 1. "Общие сведения"'!K171)</f>
        <v/>
      </c>
      <c r="F171" s="45" t="str">
        <f>IF(OR(Таблица26[[#This Row],[Столбец1]]="",Таблица26[[#This Row],[Столбец5]]="",),"",VLOOKUP(A171,Таблица9[#All],2,FALSE))</f>
        <v/>
      </c>
      <c r="G171" s="47" t="str">
        <f>IF(OR(Таблица26[[#This Row],[Столбец1]]="",Таблица26[[#This Row],[Столбец5]]=""),"",VLOOKUP(A171,'Р 5. Финансирование'!$A$9:$D$100,3,FALSE))</f>
        <v/>
      </c>
      <c r="H171" s="47" t="str">
        <f>IF(OR(Таблица26[[#This Row],[Столбец1]]="",Таблица26[[#This Row],[Столбец5]]=""),"",VLOOKUP(A171,'Р 5. Финансирование'!$A$9:$D$100,4,FALSE))</f>
        <v/>
      </c>
      <c r="I171" s="6" t="str">
        <f>IF(OR(Таблица26[[#This Row],[Столбец5]]="отсутствует",Таблица26[[#This Row],[Столбец5]]=""),"",VLOOKUP(A171,'Р 4. Показатели_индикаторы'!$A$9:$J$103,3,FALSE))</f>
        <v/>
      </c>
      <c r="J171" s="6" t="str">
        <f>IF(OR(Таблица26[[#This Row],[Столбец5]]="отсутствует",Таблица26[[#This Row],[Столбец5]]=""),"",VLOOKUP(A171,'Р 4. Показатели_индикаторы'!$A$9:$J$103,4,FALSE))</f>
        <v/>
      </c>
      <c r="K171" s="6" t="str">
        <f>IF(OR(Таблица26[[#This Row],[Столбец1]]="",Таблица26[[#This Row],[Столбец5]]="",Таблица26[[#This Row],[Столбец5]]="отсутствует"),"",VLOOKUP(A171,'Р 4. Показатели_индикаторы'!$A$9:$J$103,5,FALSE))</f>
        <v/>
      </c>
      <c r="L171" s="6" t="str">
        <f>IF(OR(Таблица26[[#This Row],[Столбец1]]="",Таблица26[[#This Row],[Столбец5]]="",Таблица26[[#This Row],[Столбец5]]="отсутствует"),"",VLOOKUP(A171,'Р 4. Показатели_индикаторы'!$A$9:$J$103,6,FALSE))</f>
        <v/>
      </c>
      <c r="M171" s="6" t="str">
        <f>IF(OR(Таблица26[[#This Row],[Столбец1]]="",Таблица26[[#This Row],[Столбец5]]="",Таблица26[[#This Row],[Столбец5]]="отсутствует"),"",VLOOKUP(A171,'Р 4. Показатели_индикаторы'!$A$9:$J$103,7,FALSE))</f>
        <v/>
      </c>
      <c r="N171" s="6" t="str">
        <f>IF(OR(Таблица26[[#This Row],[Столбец1]]="",Таблица26[[#This Row],[Столбец5]]="",Таблица26[[#This Row],[Столбец5]]="отсутствует"),"",VLOOKUP(A171,'Р 4. Показатели_индикаторы'!$A$9:$J$103,8,FALSE))</f>
        <v/>
      </c>
      <c r="O171" s="10" t="str">
        <f>IF(VLOOKUP(A171,'Р 1. "Общие сведения"'!$I$8:$L$179,4,FALSE)="","",VLOOKUP(A171,'Р 1. "Общие сведения"'!$I$8:$L$179,4,FALSE))</f>
        <v/>
      </c>
    </row>
    <row r="172" spans="1:15" x14ac:dyDescent="0.25">
      <c r="A172" s="48" t="str">
        <f>IF('Р 1. "Общие сведения"'!I172="","",'Р 1. "Общие сведения"'!I172)</f>
        <v xml:space="preserve"> </v>
      </c>
      <c r="B172" s="44" t="str">
        <f>IF('Р 1. "Общие сведения"'!J172="","",'Р 1. "Общие сведения"'!J172)</f>
        <v/>
      </c>
      <c r="C172" s="44" t="str">
        <f>IF('Р 1. "Общие сведения"'!H172="","",'Р 1. "Общие сведения"'!H172)</f>
        <v/>
      </c>
      <c r="D172" s="44" t="str">
        <f>IF('Р 1. "Общие сведения"'!D172="","",'Р 1. "Общие сведения"'!D172)</f>
        <v/>
      </c>
      <c r="E172" s="44" t="str">
        <f>IF('Р 1. "Общие сведения"'!K172="","",'Р 1. "Общие сведения"'!K172)</f>
        <v/>
      </c>
      <c r="F172" s="45" t="str">
        <f>IF(OR(Таблица26[[#This Row],[Столбец1]]="",Таблица26[[#This Row],[Столбец5]]="",),"",VLOOKUP(A172,Таблица9[#All],2,FALSE))</f>
        <v/>
      </c>
      <c r="G172" s="47" t="str">
        <f>IF(OR(Таблица26[[#This Row],[Столбец1]]="",Таблица26[[#This Row],[Столбец5]]=""),"",VLOOKUP(A172,'Р 5. Финансирование'!$A$9:$D$100,3,FALSE))</f>
        <v/>
      </c>
      <c r="H172" s="47" t="str">
        <f>IF(OR(Таблица26[[#This Row],[Столбец1]]="",Таблица26[[#This Row],[Столбец5]]=""),"",VLOOKUP(A172,'Р 5. Финансирование'!$A$9:$D$100,4,FALSE))</f>
        <v/>
      </c>
      <c r="I172" s="6" t="str">
        <f>IF(OR(Таблица26[[#This Row],[Столбец5]]="отсутствует",Таблица26[[#This Row],[Столбец5]]=""),"",VLOOKUP(A172,'Р 4. Показатели_индикаторы'!$A$9:$J$103,3,FALSE))</f>
        <v/>
      </c>
      <c r="J172" s="6" t="str">
        <f>IF(OR(Таблица26[[#This Row],[Столбец5]]="отсутствует",Таблица26[[#This Row],[Столбец5]]=""),"",VLOOKUP(A172,'Р 4. Показатели_индикаторы'!$A$9:$J$103,4,FALSE))</f>
        <v/>
      </c>
      <c r="K172" s="6" t="str">
        <f>IF(OR(Таблица26[[#This Row],[Столбец1]]="",Таблица26[[#This Row],[Столбец5]]="",Таблица26[[#This Row],[Столбец5]]="отсутствует"),"",VLOOKUP(A172,'Р 4. Показатели_индикаторы'!$A$9:$J$103,5,FALSE))</f>
        <v/>
      </c>
      <c r="L172" s="6" t="str">
        <f>IF(OR(Таблица26[[#This Row],[Столбец1]]="",Таблица26[[#This Row],[Столбец5]]="",Таблица26[[#This Row],[Столбец5]]="отсутствует"),"",VLOOKUP(A172,'Р 4. Показатели_индикаторы'!$A$9:$J$103,6,FALSE))</f>
        <v/>
      </c>
      <c r="M172" s="6" t="str">
        <f>IF(OR(Таблица26[[#This Row],[Столбец1]]="",Таблица26[[#This Row],[Столбец5]]="",Таблица26[[#This Row],[Столбец5]]="отсутствует"),"",VLOOKUP(A172,'Р 4. Показатели_индикаторы'!$A$9:$J$103,7,FALSE))</f>
        <v/>
      </c>
      <c r="N172" s="6" t="str">
        <f>IF(OR(Таблица26[[#This Row],[Столбец1]]="",Таблица26[[#This Row],[Столбец5]]="",Таблица26[[#This Row],[Столбец5]]="отсутствует"),"",VLOOKUP(A172,'Р 4. Показатели_индикаторы'!$A$9:$J$103,8,FALSE))</f>
        <v/>
      </c>
      <c r="O172" s="10" t="str">
        <f>IF(VLOOKUP(A172,'Р 1. "Общие сведения"'!$I$8:$L$179,4,FALSE)="","",VLOOKUP(A172,'Р 1. "Общие сведения"'!$I$8:$L$179,4,FALSE))</f>
        <v/>
      </c>
    </row>
    <row r="173" spans="1:15" x14ac:dyDescent="0.25">
      <c r="A173" s="48" t="str">
        <f>IF('Р 1. "Общие сведения"'!I173="","",'Р 1. "Общие сведения"'!I173)</f>
        <v xml:space="preserve"> </v>
      </c>
      <c r="B173" s="44" t="str">
        <f>IF('Р 1. "Общие сведения"'!J173="","",'Р 1. "Общие сведения"'!J173)</f>
        <v/>
      </c>
      <c r="C173" s="44" t="str">
        <f>IF('Р 1. "Общие сведения"'!H173="","",'Р 1. "Общие сведения"'!H173)</f>
        <v/>
      </c>
      <c r="D173" s="44" t="str">
        <f>IF('Р 1. "Общие сведения"'!D173="","",'Р 1. "Общие сведения"'!D173)</f>
        <v/>
      </c>
      <c r="E173" s="44" t="str">
        <f>IF('Р 1. "Общие сведения"'!K173="","",'Р 1. "Общие сведения"'!K173)</f>
        <v/>
      </c>
      <c r="F173" s="45" t="str">
        <f>IF(OR(Таблица26[[#This Row],[Столбец1]]="",Таблица26[[#This Row],[Столбец5]]="",),"",VLOOKUP(A173,Таблица9[#All],2,FALSE))</f>
        <v/>
      </c>
      <c r="G173" s="47" t="str">
        <f>IF(OR(Таблица26[[#This Row],[Столбец1]]="",Таблица26[[#This Row],[Столбец5]]=""),"",VLOOKUP(A173,'Р 5. Финансирование'!$A$9:$D$100,3,FALSE))</f>
        <v/>
      </c>
      <c r="H173" s="47" t="str">
        <f>IF(OR(Таблица26[[#This Row],[Столбец1]]="",Таблица26[[#This Row],[Столбец5]]=""),"",VLOOKUP(A173,'Р 5. Финансирование'!$A$9:$D$100,4,FALSE))</f>
        <v/>
      </c>
      <c r="I173" s="6" t="str">
        <f>IF(OR(Таблица26[[#This Row],[Столбец5]]="отсутствует",Таблица26[[#This Row],[Столбец5]]=""),"",VLOOKUP(A173,'Р 4. Показатели_индикаторы'!$A$9:$J$103,3,FALSE))</f>
        <v/>
      </c>
      <c r="J173" s="6" t="str">
        <f>IF(OR(Таблица26[[#This Row],[Столбец5]]="отсутствует",Таблица26[[#This Row],[Столбец5]]=""),"",VLOOKUP(A173,'Р 4. Показатели_индикаторы'!$A$9:$J$103,4,FALSE))</f>
        <v/>
      </c>
      <c r="K173" s="6" t="str">
        <f>IF(OR(Таблица26[[#This Row],[Столбец1]]="",Таблица26[[#This Row],[Столбец5]]="",Таблица26[[#This Row],[Столбец5]]="отсутствует"),"",VLOOKUP(A173,'Р 4. Показатели_индикаторы'!$A$9:$J$103,5,FALSE))</f>
        <v/>
      </c>
      <c r="L173" s="6" t="str">
        <f>IF(OR(Таблица26[[#This Row],[Столбец1]]="",Таблица26[[#This Row],[Столбец5]]="",Таблица26[[#This Row],[Столбец5]]="отсутствует"),"",VLOOKUP(A173,'Р 4. Показатели_индикаторы'!$A$9:$J$103,6,FALSE))</f>
        <v/>
      </c>
      <c r="M173" s="6" t="str">
        <f>IF(OR(Таблица26[[#This Row],[Столбец1]]="",Таблица26[[#This Row],[Столбец5]]="",Таблица26[[#This Row],[Столбец5]]="отсутствует"),"",VLOOKUP(A173,'Р 4. Показатели_индикаторы'!$A$9:$J$103,7,FALSE))</f>
        <v/>
      </c>
      <c r="N173" s="6" t="str">
        <f>IF(OR(Таблица26[[#This Row],[Столбец1]]="",Таблица26[[#This Row],[Столбец5]]="",Таблица26[[#This Row],[Столбец5]]="отсутствует"),"",VLOOKUP(A173,'Р 4. Показатели_индикаторы'!$A$9:$J$103,8,FALSE))</f>
        <v/>
      </c>
      <c r="O173" s="10" t="str">
        <f>IF(VLOOKUP(A173,'Р 1. "Общие сведения"'!$I$8:$L$179,4,FALSE)="","",VLOOKUP(A173,'Р 1. "Общие сведения"'!$I$8:$L$179,4,FALSE))</f>
        <v/>
      </c>
    </row>
    <row r="174" spans="1:15" x14ac:dyDescent="0.25">
      <c r="A174" s="48" t="str">
        <f>IF('Р 1. "Общие сведения"'!I174="","",'Р 1. "Общие сведения"'!I174)</f>
        <v xml:space="preserve"> </v>
      </c>
      <c r="B174" s="44" t="str">
        <f>IF('Р 1. "Общие сведения"'!J174="","",'Р 1. "Общие сведения"'!J174)</f>
        <v/>
      </c>
      <c r="C174" s="44" t="str">
        <f>IF('Р 1. "Общие сведения"'!H174="","",'Р 1. "Общие сведения"'!H174)</f>
        <v/>
      </c>
      <c r="D174" s="44" t="str">
        <f>IF('Р 1. "Общие сведения"'!D174="","",'Р 1. "Общие сведения"'!D174)</f>
        <v/>
      </c>
      <c r="E174" s="44" t="str">
        <f>IF('Р 1. "Общие сведения"'!K174="","",'Р 1. "Общие сведения"'!K174)</f>
        <v/>
      </c>
      <c r="F174" s="45" t="str">
        <f>IF(OR(Таблица26[[#This Row],[Столбец1]]="",Таблица26[[#This Row],[Столбец5]]="",),"",VLOOKUP(A174,Таблица9[#All],2,FALSE))</f>
        <v/>
      </c>
      <c r="G174" s="47" t="str">
        <f>IF(OR(Таблица26[[#This Row],[Столбец1]]="",Таблица26[[#This Row],[Столбец5]]=""),"",VLOOKUP(A174,'Р 5. Финансирование'!$A$9:$D$100,3,FALSE))</f>
        <v/>
      </c>
      <c r="H174" s="47" t="str">
        <f>IF(OR(Таблица26[[#This Row],[Столбец1]]="",Таблица26[[#This Row],[Столбец5]]=""),"",VLOOKUP(A174,'Р 5. Финансирование'!$A$9:$D$100,4,FALSE))</f>
        <v/>
      </c>
      <c r="I174" s="6" t="str">
        <f>IF(OR(Таблица26[[#This Row],[Столбец5]]="отсутствует",Таблица26[[#This Row],[Столбец5]]=""),"",VLOOKUP(A174,'Р 4. Показатели_индикаторы'!$A$9:$J$103,3,FALSE))</f>
        <v/>
      </c>
      <c r="J174" s="6" t="str">
        <f>IF(OR(Таблица26[[#This Row],[Столбец5]]="отсутствует",Таблица26[[#This Row],[Столбец5]]=""),"",VLOOKUP(A174,'Р 4. Показатели_индикаторы'!$A$9:$J$103,4,FALSE))</f>
        <v/>
      </c>
      <c r="K174" s="6" t="str">
        <f>IF(OR(Таблица26[[#This Row],[Столбец1]]="",Таблица26[[#This Row],[Столбец5]]="",Таблица26[[#This Row],[Столбец5]]="отсутствует"),"",VLOOKUP(A174,'Р 4. Показатели_индикаторы'!$A$9:$J$103,5,FALSE))</f>
        <v/>
      </c>
      <c r="L174" s="6" t="str">
        <f>IF(OR(Таблица26[[#This Row],[Столбец1]]="",Таблица26[[#This Row],[Столбец5]]="",Таблица26[[#This Row],[Столбец5]]="отсутствует"),"",VLOOKUP(A174,'Р 4. Показатели_индикаторы'!$A$9:$J$103,6,FALSE))</f>
        <v/>
      </c>
      <c r="M174" s="6" t="str">
        <f>IF(OR(Таблица26[[#This Row],[Столбец1]]="",Таблица26[[#This Row],[Столбец5]]="",Таблица26[[#This Row],[Столбец5]]="отсутствует"),"",VLOOKUP(A174,'Р 4. Показатели_индикаторы'!$A$9:$J$103,7,FALSE))</f>
        <v/>
      </c>
      <c r="N174" s="6" t="str">
        <f>IF(OR(Таблица26[[#This Row],[Столбец1]]="",Таблица26[[#This Row],[Столбец5]]="",Таблица26[[#This Row],[Столбец5]]="отсутствует"),"",VLOOKUP(A174,'Р 4. Показатели_индикаторы'!$A$9:$J$103,8,FALSE))</f>
        <v/>
      </c>
      <c r="O174" s="10" t="str">
        <f>IF(VLOOKUP(A174,'Р 1. "Общие сведения"'!$I$8:$L$179,4,FALSE)="","",VLOOKUP(A174,'Р 1. "Общие сведения"'!$I$8:$L$179,4,FALSE))</f>
        <v/>
      </c>
    </row>
    <row r="175" spans="1:15" x14ac:dyDescent="0.25">
      <c r="A175" s="48" t="str">
        <f>IF('Р 1. "Общие сведения"'!I175="","",'Р 1. "Общие сведения"'!I175)</f>
        <v xml:space="preserve"> </v>
      </c>
      <c r="B175" s="44" t="str">
        <f>IF('Р 1. "Общие сведения"'!J175="","",'Р 1. "Общие сведения"'!J175)</f>
        <v/>
      </c>
      <c r="C175" s="44" t="str">
        <f>IF('Р 1. "Общие сведения"'!H175="","",'Р 1. "Общие сведения"'!H175)</f>
        <v/>
      </c>
      <c r="D175" s="44" t="str">
        <f>IF('Р 1. "Общие сведения"'!D175="","",'Р 1. "Общие сведения"'!D175)</f>
        <v/>
      </c>
      <c r="E175" s="44" t="str">
        <f>IF('Р 1. "Общие сведения"'!K175="","",'Р 1. "Общие сведения"'!K175)</f>
        <v/>
      </c>
      <c r="F175" s="45" t="str">
        <f>IF(OR(Таблица26[[#This Row],[Столбец1]]="",Таблица26[[#This Row],[Столбец5]]="",),"",VLOOKUP(A175,Таблица9[#All],2,FALSE))</f>
        <v/>
      </c>
      <c r="G175" s="47" t="str">
        <f>IF(OR(Таблица26[[#This Row],[Столбец1]]="",Таблица26[[#This Row],[Столбец5]]=""),"",VLOOKUP(A175,'Р 5. Финансирование'!$A$9:$D$100,3,FALSE))</f>
        <v/>
      </c>
      <c r="H175" s="47" t="str">
        <f>IF(OR(Таблица26[[#This Row],[Столбец1]]="",Таблица26[[#This Row],[Столбец5]]=""),"",VLOOKUP(A175,'Р 5. Финансирование'!$A$9:$D$100,4,FALSE))</f>
        <v/>
      </c>
      <c r="I175" s="6" t="str">
        <f>IF(OR(Таблица26[[#This Row],[Столбец5]]="отсутствует",Таблица26[[#This Row],[Столбец5]]=""),"",VLOOKUP(A175,'Р 4. Показатели_индикаторы'!$A$9:$J$103,3,FALSE))</f>
        <v/>
      </c>
      <c r="J175" s="6" t="str">
        <f>IF(OR(Таблица26[[#This Row],[Столбец5]]="отсутствует",Таблица26[[#This Row],[Столбец5]]=""),"",VLOOKUP(A175,'Р 4. Показатели_индикаторы'!$A$9:$J$103,4,FALSE))</f>
        <v/>
      </c>
      <c r="K175" s="6" t="str">
        <f>IF(OR(Таблица26[[#This Row],[Столбец1]]="",Таблица26[[#This Row],[Столбец5]]="",Таблица26[[#This Row],[Столбец5]]="отсутствует"),"",VLOOKUP(A175,'Р 4. Показатели_индикаторы'!$A$9:$J$103,5,FALSE))</f>
        <v/>
      </c>
      <c r="L175" s="6" t="str">
        <f>IF(OR(Таблица26[[#This Row],[Столбец1]]="",Таблица26[[#This Row],[Столбец5]]="",Таблица26[[#This Row],[Столбец5]]="отсутствует"),"",VLOOKUP(A175,'Р 4. Показатели_индикаторы'!$A$9:$J$103,6,FALSE))</f>
        <v/>
      </c>
      <c r="M175" s="6" t="str">
        <f>IF(OR(Таблица26[[#This Row],[Столбец1]]="",Таблица26[[#This Row],[Столбец5]]="",Таблица26[[#This Row],[Столбец5]]="отсутствует"),"",VLOOKUP(A175,'Р 4. Показатели_индикаторы'!$A$9:$J$103,7,FALSE))</f>
        <v/>
      </c>
      <c r="N175" s="6" t="str">
        <f>IF(OR(Таблица26[[#This Row],[Столбец1]]="",Таблица26[[#This Row],[Столбец5]]="",Таблица26[[#This Row],[Столбец5]]="отсутствует"),"",VLOOKUP(A175,'Р 4. Показатели_индикаторы'!$A$9:$J$103,8,FALSE))</f>
        <v/>
      </c>
      <c r="O175" s="10" t="str">
        <f>IF(VLOOKUP(A175,'Р 1. "Общие сведения"'!$I$8:$L$179,4,FALSE)="","",VLOOKUP(A175,'Р 1. "Общие сведения"'!$I$8:$L$179,4,FALSE))</f>
        <v/>
      </c>
    </row>
    <row r="176" spans="1:15" x14ac:dyDescent="0.25">
      <c r="A176" s="48" t="str">
        <f>IF('Р 1. "Общие сведения"'!I176="","",'Р 1. "Общие сведения"'!I176)</f>
        <v xml:space="preserve"> </v>
      </c>
      <c r="B176" s="44" t="str">
        <f>IF('Р 1. "Общие сведения"'!J176="","",'Р 1. "Общие сведения"'!J176)</f>
        <v/>
      </c>
      <c r="C176" s="44" t="str">
        <f>IF('Р 1. "Общие сведения"'!H176="","",'Р 1. "Общие сведения"'!H176)</f>
        <v/>
      </c>
      <c r="D176" s="44" t="str">
        <f>IF('Р 1. "Общие сведения"'!D176="","",'Р 1. "Общие сведения"'!D176)</f>
        <v/>
      </c>
      <c r="E176" s="44" t="str">
        <f>IF('Р 1. "Общие сведения"'!K176="","",'Р 1. "Общие сведения"'!K176)</f>
        <v/>
      </c>
      <c r="F176" s="45" t="str">
        <f>IF(OR(Таблица26[[#This Row],[Столбец1]]="",Таблица26[[#This Row],[Столбец5]]="",),"",VLOOKUP(A176,Таблица9[#All],2,FALSE))</f>
        <v/>
      </c>
      <c r="G176" s="47" t="str">
        <f>IF(OR(Таблица26[[#This Row],[Столбец1]]="",Таблица26[[#This Row],[Столбец5]]=""),"",VLOOKUP(A176,'Р 5. Финансирование'!$A$9:$D$100,3,FALSE))</f>
        <v/>
      </c>
      <c r="H176" s="47" t="str">
        <f>IF(OR(Таблица26[[#This Row],[Столбец1]]="",Таблица26[[#This Row],[Столбец5]]=""),"",VLOOKUP(A176,'Р 5. Финансирование'!$A$9:$D$100,4,FALSE))</f>
        <v/>
      </c>
      <c r="I176" s="6" t="str">
        <f>IF(OR(Таблица26[[#This Row],[Столбец5]]="отсутствует",Таблица26[[#This Row],[Столбец5]]=""),"",VLOOKUP(A176,'Р 4. Показатели_индикаторы'!$A$9:$J$103,3,FALSE))</f>
        <v/>
      </c>
      <c r="J176" s="6" t="str">
        <f>IF(OR(Таблица26[[#This Row],[Столбец5]]="отсутствует",Таблица26[[#This Row],[Столбец5]]=""),"",VLOOKUP(A176,'Р 4. Показатели_индикаторы'!$A$9:$J$103,4,FALSE))</f>
        <v/>
      </c>
      <c r="K176" s="6" t="str">
        <f>IF(OR(Таблица26[[#This Row],[Столбец1]]="",Таблица26[[#This Row],[Столбец5]]="",Таблица26[[#This Row],[Столбец5]]="отсутствует"),"",VLOOKUP(A176,'Р 4. Показатели_индикаторы'!$A$9:$J$103,5,FALSE))</f>
        <v/>
      </c>
      <c r="L176" s="6" t="str">
        <f>IF(OR(Таблица26[[#This Row],[Столбец1]]="",Таблица26[[#This Row],[Столбец5]]="",Таблица26[[#This Row],[Столбец5]]="отсутствует"),"",VLOOKUP(A176,'Р 4. Показатели_индикаторы'!$A$9:$J$103,6,FALSE))</f>
        <v/>
      </c>
      <c r="M176" s="6" t="str">
        <f>IF(OR(Таблица26[[#This Row],[Столбец1]]="",Таблица26[[#This Row],[Столбец5]]="",Таблица26[[#This Row],[Столбец5]]="отсутствует"),"",VLOOKUP(A176,'Р 4. Показатели_индикаторы'!$A$9:$J$103,7,FALSE))</f>
        <v/>
      </c>
      <c r="N176" s="6" t="str">
        <f>IF(OR(Таблица26[[#This Row],[Столбец1]]="",Таблица26[[#This Row],[Столбец5]]="",Таблица26[[#This Row],[Столбец5]]="отсутствует"),"",VLOOKUP(A176,'Р 4. Показатели_индикаторы'!$A$9:$J$103,8,FALSE))</f>
        <v/>
      </c>
      <c r="O176" s="10" t="str">
        <f>IF(VLOOKUP(A176,'Р 1. "Общие сведения"'!$I$8:$L$179,4,FALSE)="","",VLOOKUP(A176,'Р 1. "Общие сведения"'!$I$8:$L$179,4,FALSE))</f>
        <v/>
      </c>
    </row>
    <row r="177" spans="1:15" x14ac:dyDescent="0.25">
      <c r="A177" s="48" t="str">
        <f>IF('Р 1. "Общие сведения"'!I177="","",'Р 1. "Общие сведения"'!I177)</f>
        <v xml:space="preserve"> </v>
      </c>
      <c r="B177" s="44" t="str">
        <f>IF('Р 1. "Общие сведения"'!J177="","",'Р 1. "Общие сведения"'!J177)</f>
        <v/>
      </c>
      <c r="C177" s="44" t="str">
        <f>IF('Р 1. "Общие сведения"'!H177="","",'Р 1. "Общие сведения"'!H177)</f>
        <v/>
      </c>
      <c r="D177" s="44" t="str">
        <f>IF('Р 1. "Общие сведения"'!D177="","",'Р 1. "Общие сведения"'!D177)</f>
        <v/>
      </c>
      <c r="E177" s="44" t="str">
        <f>IF('Р 1. "Общие сведения"'!K177="","",'Р 1. "Общие сведения"'!K177)</f>
        <v/>
      </c>
      <c r="F177" s="45" t="str">
        <f>IF(OR(Таблица26[[#This Row],[Столбец1]]="",Таблица26[[#This Row],[Столбец5]]="",),"",VLOOKUP(A177,Таблица9[#All],2,FALSE))</f>
        <v/>
      </c>
      <c r="G177" s="47" t="str">
        <f>IF(OR(Таблица26[[#This Row],[Столбец1]]="",Таблица26[[#This Row],[Столбец5]]=""),"",VLOOKUP(A177,'Р 5. Финансирование'!$A$9:$D$100,3,FALSE))</f>
        <v/>
      </c>
      <c r="H177" s="47" t="str">
        <f>IF(OR(Таблица26[[#This Row],[Столбец1]]="",Таблица26[[#This Row],[Столбец5]]=""),"",VLOOKUP(A177,'Р 5. Финансирование'!$A$9:$D$100,4,FALSE))</f>
        <v/>
      </c>
      <c r="I177" s="6" t="str">
        <f>IF(OR(Таблица26[[#This Row],[Столбец5]]="отсутствует",Таблица26[[#This Row],[Столбец5]]=""),"",VLOOKUP(A177,'Р 4. Показатели_индикаторы'!$A$9:$J$103,3,FALSE))</f>
        <v/>
      </c>
      <c r="J177" s="6" t="str">
        <f>IF(OR(Таблица26[[#This Row],[Столбец5]]="отсутствует",Таблица26[[#This Row],[Столбец5]]=""),"",VLOOKUP(A177,'Р 4. Показатели_индикаторы'!$A$9:$J$103,4,FALSE))</f>
        <v/>
      </c>
      <c r="K177" s="6" t="str">
        <f>IF(OR(Таблица26[[#This Row],[Столбец1]]="",Таблица26[[#This Row],[Столбец5]]="",Таблица26[[#This Row],[Столбец5]]="отсутствует"),"",VLOOKUP(A177,'Р 4. Показатели_индикаторы'!$A$9:$J$103,5,FALSE))</f>
        <v/>
      </c>
      <c r="L177" s="6" t="str">
        <f>IF(OR(Таблица26[[#This Row],[Столбец1]]="",Таблица26[[#This Row],[Столбец5]]="",Таблица26[[#This Row],[Столбец5]]="отсутствует"),"",VLOOKUP(A177,'Р 4. Показатели_индикаторы'!$A$9:$J$103,6,FALSE))</f>
        <v/>
      </c>
      <c r="M177" s="6" t="str">
        <f>IF(OR(Таблица26[[#This Row],[Столбец1]]="",Таблица26[[#This Row],[Столбец5]]="",Таблица26[[#This Row],[Столбец5]]="отсутствует"),"",VLOOKUP(A177,'Р 4. Показатели_индикаторы'!$A$9:$J$103,7,FALSE))</f>
        <v/>
      </c>
      <c r="N177" s="6" t="str">
        <f>IF(OR(Таблица26[[#This Row],[Столбец1]]="",Таблица26[[#This Row],[Столбец5]]="",Таблица26[[#This Row],[Столбец5]]="отсутствует"),"",VLOOKUP(A177,'Р 4. Показатели_индикаторы'!$A$9:$J$103,8,FALSE))</f>
        <v/>
      </c>
      <c r="O177" s="10" t="str">
        <f>IF(VLOOKUP(A177,'Р 1. "Общие сведения"'!$I$8:$L$179,4,FALSE)="","",VLOOKUP(A177,'Р 1. "Общие сведения"'!$I$8:$L$179,4,FALSE))</f>
        <v/>
      </c>
    </row>
    <row r="178" spans="1:15" x14ac:dyDescent="0.25">
      <c r="A178" s="48" t="str">
        <f>IF('Р 1. "Общие сведения"'!I178="","",'Р 1. "Общие сведения"'!I178)</f>
        <v xml:space="preserve"> </v>
      </c>
      <c r="B178" s="44" t="str">
        <f>IF('Р 1. "Общие сведения"'!J178="","",'Р 1. "Общие сведения"'!J178)</f>
        <v/>
      </c>
      <c r="C178" s="44" t="str">
        <f>IF('Р 1. "Общие сведения"'!H178="","",'Р 1. "Общие сведения"'!H178)</f>
        <v/>
      </c>
      <c r="D178" s="44" t="str">
        <f>IF('Р 1. "Общие сведения"'!D178="","",'Р 1. "Общие сведения"'!D178)</f>
        <v/>
      </c>
      <c r="E178" s="44" t="str">
        <f>IF('Р 1. "Общие сведения"'!K178="","",'Р 1. "Общие сведения"'!K178)</f>
        <v/>
      </c>
      <c r="F178" s="45" t="str">
        <f>IF(OR(Таблица26[[#This Row],[Столбец1]]="",Таблица26[[#This Row],[Столбец5]]="",),"",VLOOKUP(A178,Таблица9[#All],2,FALSE))</f>
        <v/>
      </c>
      <c r="G178" s="47" t="str">
        <f>IF(OR(Таблица26[[#This Row],[Столбец1]]="",Таблица26[[#This Row],[Столбец5]]=""),"",VLOOKUP(A178,'Р 5. Финансирование'!$A$9:$D$100,3,FALSE))</f>
        <v/>
      </c>
      <c r="H178" s="47" t="str">
        <f>IF(OR(Таблица26[[#This Row],[Столбец1]]="",Таблица26[[#This Row],[Столбец5]]=""),"",VLOOKUP(A178,'Р 5. Финансирование'!$A$9:$D$100,4,FALSE))</f>
        <v/>
      </c>
      <c r="I178" s="6" t="str">
        <f>IF(OR(Таблица26[[#This Row],[Столбец5]]="отсутствует",Таблица26[[#This Row],[Столбец5]]=""),"",VLOOKUP(A178,'Р 4. Показатели_индикаторы'!$A$9:$J$103,3,FALSE))</f>
        <v/>
      </c>
      <c r="J178" s="6" t="str">
        <f>IF(OR(Таблица26[[#This Row],[Столбец5]]="отсутствует",Таблица26[[#This Row],[Столбец5]]=""),"",VLOOKUP(A178,'Р 4. Показатели_индикаторы'!$A$9:$J$103,4,FALSE))</f>
        <v/>
      </c>
      <c r="K178" s="6" t="str">
        <f>IF(OR(Таблица26[[#This Row],[Столбец1]]="",Таблица26[[#This Row],[Столбец5]]="",Таблица26[[#This Row],[Столбец5]]="отсутствует"),"",VLOOKUP(A178,'Р 4. Показатели_индикаторы'!$A$9:$J$103,5,FALSE))</f>
        <v/>
      </c>
      <c r="L178" s="6" t="str">
        <f>IF(OR(Таблица26[[#This Row],[Столбец1]]="",Таблица26[[#This Row],[Столбец5]]="",Таблица26[[#This Row],[Столбец5]]="отсутствует"),"",VLOOKUP(A178,'Р 4. Показатели_индикаторы'!$A$9:$J$103,6,FALSE))</f>
        <v/>
      </c>
      <c r="M178" s="64" t="str">
        <f>IF(OR(Таблица26[[#This Row],[Столбец1]]="",Таблица26[[#This Row],[Столбец5]]="",Таблица26[[#This Row],[Столбец5]]="отсутствует"),"",VLOOKUP(A178,'Р 4. Показатели_индикаторы'!$A$9:$J$103,7,FALSE))</f>
        <v/>
      </c>
      <c r="N178" s="6" t="str">
        <f>IF(OR(Таблица26[[#This Row],[Столбец1]]="",Таблица26[[#This Row],[Столбец5]]="",Таблица26[[#This Row],[Столбец5]]="отсутствует"),"",VLOOKUP(A178,'Р 4. Показатели_индикаторы'!$A$9:$J$103,8,FALSE))</f>
        <v/>
      </c>
      <c r="O178" s="10" t="str">
        <f>IF(VLOOKUP(A178,'Р 1. "Общие сведения"'!$I$8:$L$179,4,FALSE)="","",VLOOKUP(A178,'Р 1. "Общие сведения"'!$I$8:$L$179,4,FALSE))</f>
        <v/>
      </c>
    </row>
    <row r="179" spans="1:15" ht="15.75" thickBot="1" x14ac:dyDescent="0.3">
      <c r="A179" s="48" t="str">
        <f>IF('Р 1. "Общие сведения"'!I179="","",'Р 1. "Общие сведения"'!I179)</f>
        <v xml:space="preserve"> </v>
      </c>
      <c r="B179" s="51" t="str">
        <f>IF('Р 1. "Общие сведения"'!J179="","",'Р 1. "Общие сведения"'!J179)</f>
        <v/>
      </c>
      <c r="C179" s="51" t="str">
        <f>IF('Р 1. "Общие сведения"'!H179="","",'Р 1. "Общие сведения"'!H179)</f>
        <v/>
      </c>
      <c r="D179" s="51" t="str">
        <f>IF('Р 1. "Общие сведения"'!D179="","",'Р 1. "Общие сведения"'!D179)</f>
        <v/>
      </c>
      <c r="E179" s="44" t="str">
        <f>IF('Р 1. "Общие сведения"'!K179="","",'Р 1. "Общие сведения"'!K179)</f>
        <v/>
      </c>
      <c r="F179" s="52" t="str">
        <f>IF(OR(Таблица26[[#This Row],[Столбец1]]="",Таблица26[[#This Row],[Столбец5]]="",),"",VLOOKUP(A179,Таблица9[#All],2,FALSE))</f>
        <v/>
      </c>
      <c r="G179" s="53" t="str">
        <f>IF(OR(Таблица26[[#This Row],[Столбец1]]="",Таблица26[[#This Row],[Столбец5]]=""),"",VLOOKUP(A179,'Р 5. Финансирование'!$A$9:$D$100,3,FALSE))</f>
        <v/>
      </c>
      <c r="H179" s="53" t="str">
        <f>IF(OR(Таблица26[[#This Row],[Столбец1]]="",Таблица26[[#This Row],[Столбец5]]=""),"",VLOOKUP(A179,'Р 5. Финансирование'!$A$9:$D$100,4,FALSE))</f>
        <v/>
      </c>
      <c r="I179" s="54" t="str">
        <f>IF(OR(Таблица26[[#This Row],[Столбец5]]="отсутствует",Таблица26[[#This Row],[Столбец5]]=""),"",VLOOKUP(A179,'Р 4. Показатели_индикаторы'!$A$9:$J$103,3,FALSE))</f>
        <v/>
      </c>
      <c r="J179" s="54" t="str">
        <f>IF(OR(Таблица26[[#This Row],[Столбец5]]="отсутствует",Таблица26[[#This Row],[Столбец5]]=""),"",VLOOKUP(A179,'Р 4. Показатели_индикаторы'!$A$9:$J$103,4,FALSE))</f>
        <v/>
      </c>
      <c r="K179" s="54" t="str">
        <f>IF(OR(Таблица26[[#This Row],[Столбец1]]="",Таблица26[[#This Row],[Столбец5]]="",Таблица26[[#This Row],[Столбец5]]="отсутствует"),"",VLOOKUP(A179,'Р 4. Показатели_индикаторы'!$A$9:$J$103,5,FALSE))</f>
        <v/>
      </c>
      <c r="L179" s="54" t="str">
        <f>IF(OR(Таблица26[[#This Row],[Столбец1]]="",Таблица26[[#This Row],[Столбец5]]="",Таблица26[[#This Row],[Столбец5]]="отсутствует"),"",VLOOKUP(A179,'Р 4. Показатели_индикаторы'!$A$9:$J$103,6,FALSE))</f>
        <v/>
      </c>
      <c r="M179" s="6" t="str">
        <f>IF(OR(Таблица26[[#This Row],[Столбец1]]="",Таблица26[[#This Row],[Столбец5]]="",Таблица26[[#This Row],[Столбец5]]="отсутствует"),"",VLOOKUP(A179,'Р 4. Показатели_индикаторы'!$A$9:$J$103,7,FALSE))</f>
        <v/>
      </c>
      <c r="N179" s="54" t="str">
        <f>IF(OR(Таблица26[[#This Row],[Столбец1]]="",Таблица26[[#This Row],[Столбец5]]="",Таблица26[[#This Row],[Столбец5]]="отсутствует"),"",VLOOKUP(A179,'Р 4. Показатели_индикаторы'!$A$9:$J$103,8,FALSE))</f>
        <v/>
      </c>
      <c r="O179" s="55" t="str">
        <f>IF(VLOOKUP(A179,'Р 1. "Общие сведения"'!$I$8:$L$179,4,FALSE)="","",VLOOKUP(A179,'Р 1. "Общие сведения"'!$I$8:$L$179,4,FALSE))</f>
        <v/>
      </c>
    </row>
    <row r="180" spans="1:15" ht="8.25" customHeight="1" thickTop="1" x14ac:dyDescent="0.25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</row>
  </sheetData>
  <mergeCells count="12">
    <mergeCell ref="A5:A7"/>
    <mergeCell ref="B5:B7"/>
    <mergeCell ref="C5:C7"/>
    <mergeCell ref="D5:D7"/>
    <mergeCell ref="E5:E7"/>
    <mergeCell ref="F5:H6"/>
    <mergeCell ref="I5:N5"/>
    <mergeCell ref="O5:O7"/>
    <mergeCell ref="I6:I7"/>
    <mergeCell ref="J6:J7"/>
    <mergeCell ref="K6:K7"/>
    <mergeCell ref="L6:N6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4">
    <pageSetUpPr fitToPage="1"/>
  </sheetPr>
  <dimension ref="A1:P81"/>
  <sheetViews>
    <sheetView view="pageBreakPreview" topLeftCell="A22" zoomScale="94" zoomScaleNormal="100" zoomScaleSheetLayoutView="94" workbookViewId="0">
      <selection activeCell="H42" sqref="H42"/>
    </sheetView>
  </sheetViews>
  <sheetFormatPr defaultRowHeight="15" x14ac:dyDescent="0.25"/>
  <cols>
    <col min="1" max="1" width="15.140625" style="59" customWidth="1"/>
    <col min="2" max="2" width="17.85546875" style="59" customWidth="1"/>
    <col min="3" max="3" width="20.7109375" style="59" customWidth="1"/>
    <col min="4" max="4" width="19.140625" style="59" customWidth="1"/>
    <col min="5" max="5" width="21" style="59" customWidth="1"/>
    <col min="6" max="7" width="15.42578125" style="59" customWidth="1"/>
    <col min="8" max="8" width="19.42578125" style="59" customWidth="1"/>
    <col min="9" max="9" width="11.85546875" style="59" customWidth="1"/>
    <col min="10" max="10" width="13.42578125" style="59" customWidth="1"/>
    <col min="11" max="11" width="12.85546875" style="59" customWidth="1"/>
    <col min="12" max="13" width="13.140625" style="59" customWidth="1"/>
    <col min="14" max="14" width="44.85546875" style="59" customWidth="1"/>
    <col min="15" max="15" width="9.140625" style="59"/>
    <col min="16" max="16" width="0" style="59" hidden="1" customWidth="1"/>
    <col min="17" max="16384" width="9.140625" style="59"/>
  </cols>
  <sheetData>
    <row r="1" spans="1:16" ht="15.75" x14ac:dyDescent="0.25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6" ht="15.75" x14ac:dyDescent="0.25">
      <c r="A2" s="181" t="s">
        <v>60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</row>
    <row r="3" spans="1:16" ht="15.75" x14ac:dyDescent="0.25">
      <c r="A3" s="181" t="s">
        <v>380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</row>
    <row r="4" spans="1:16" ht="15.75" x14ac:dyDescent="0.25">
      <c r="A4" s="117"/>
      <c r="B4" s="117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5" spans="1:16" ht="15.75" x14ac:dyDescent="0.25">
      <c r="A5" s="117"/>
      <c r="B5" s="117"/>
      <c r="C5" s="118"/>
      <c r="D5" s="118"/>
      <c r="E5" s="118"/>
      <c r="F5" s="118"/>
      <c r="G5" s="118"/>
      <c r="H5" s="118"/>
      <c r="I5" s="118"/>
      <c r="J5" s="118"/>
      <c r="K5" s="119"/>
      <c r="L5" s="183" t="s">
        <v>62</v>
      </c>
      <c r="M5" s="183"/>
      <c r="N5" s="119" t="s">
        <v>329</v>
      </c>
    </row>
    <row r="6" spans="1:16" ht="15.75" x14ac:dyDescent="0.25">
      <c r="A6" s="181" t="s">
        <v>414</v>
      </c>
      <c r="B6" s="181"/>
      <c r="C6" s="117"/>
      <c r="D6" s="117"/>
      <c r="E6" s="117"/>
      <c r="F6" s="117"/>
      <c r="G6" s="117"/>
      <c r="H6" s="117"/>
      <c r="I6" s="117"/>
      <c r="J6" s="117"/>
      <c r="K6" s="120" t="s">
        <v>61</v>
      </c>
      <c r="L6" s="182">
        <f ca="1">NOW()</f>
        <v>44970.673284375</v>
      </c>
      <c r="M6" s="182"/>
      <c r="N6" s="121" t="s">
        <v>330</v>
      </c>
      <c r="P6" s="59">
        <f>L7</f>
        <v>818</v>
      </c>
    </row>
    <row r="7" spans="1:16" ht="15.75" x14ac:dyDescent="0.25">
      <c r="A7" s="184" t="s">
        <v>30</v>
      </c>
      <c r="B7" s="184"/>
      <c r="C7" s="184"/>
      <c r="D7" s="184"/>
      <c r="E7" s="184"/>
      <c r="F7" s="184"/>
      <c r="G7" s="184"/>
      <c r="H7" s="117"/>
      <c r="I7" s="117"/>
      <c r="J7" s="117"/>
      <c r="K7" s="120" t="s">
        <v>51</v>
      </c>
      <c r="L7" s="186">
        <v>818</v>
      </c>
      <c r="M7" s="186"/>
      <c r="N7" s="117"/>
    </row>
    <row r="8" spans="1:16" ht="15.75" x14ac:dyDescent="0.25">
      <c r="A8" s="185" t="s">
        <v>53</v>
      </c>
      <c r="B8" s="185"/>
      <c r="C8" s="185"/>
      <c r="D8" s="185"/>
      <c r="E8" s="185"/>
      <c r="F8" s="185"/>
      <c r="G8" s="185"/>
      <c r="H8" s="117"/>
      <c r="I8" s="117"/>
      <c r="J8" s="117"/>
      <c r="K8" s="120" t="s">
        <v>54</v>
      </c>
      <c r="L8" s="183">
        <v>384</v>
      </c>
      <c r="M8" s="183"/>
      <c r="N8" s="117"/>
    </row>
    <row r="9" spans="1:16" ht="15.75" x14ac:dyDescent="0.25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20" t="s">
        <v>55</v>
      </c>
      <c r="L9" s="180" t="s">
        <v>56</v>
      </c>
      <c r="M9" s="180"/>
      <c r="N9" s="117"/>
    </row>
    <row r="10" spans="1:16" ht="31.5" x14ac:dyDescent="0.25">
      <c r="A10" s="117"/>
      <c r="B10" s="117"/>
      <c r="C10" s="117"/>
      <c r="D10" s="117"/>
      <c r="E10" s="117"/>
      <c r="F10" s="117"/>
      <c r="G10" s="117"/>
      <c r="H10" s="117"/>
      <c r="I10" s="117"/>
      <c r="J10" s="117"/>
      <c r="K10" s="122" t="s">
        <v>59</v>
      </c>
      <c r="L10" s="180">
        <v>1</v>
      </c>
      <c r="M10" s="180"/>
      <c r="N10" s="117"/>
    </row>
    <row r="11" spans="1:16" ht="16.5" thickBot="1" x14ac:dyDescent="0.3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</row>
    <row r="12" spans="1:16" s="60" customFormat="1" ht="38.25" customHeight="1" x14ac:dyDescent="0.25">
      <c r="A12" s="177" t="s">
        <v>326</v>
      </c>
      <c r="B12" s="174" t="s">
        <v>12</v>
      </c>
      <c r="C12" s="174" t="s">
        <v>1</v>
      </c>
      <c r="D12" s="174" t="s">
        <v>2</v>
      </c>
      <c r="E12" s="174" t="s">
        <v>299</v>
      </c>
      <c r="F12" s="174"/>
      <c r="G12" s="174"/>
      <c r="H12" s="174" t="s">
        <v>6</v>
      </c>
      <c r="I12" s="174"/>
      <c r="J12" s="174"/>
      <c r="K12" s="174"/>
      <c r="L12" s="174"/>
      <c r="M12" s="174"/>
      <c r="N12" s="171" t="s">
        <v>10</v>
      </c>
    </row>
    <row r="13" spans="1:16" ht="33" customHeight="1" x14ac:dyDescent="0.25">
      <c r="A13" s="178"/>
      <c r="B13" s="175"/>
      <c r="C13" s="175"/>
      <c r="D13" s="175"/>
      <c r="E13" s="175"/>
      <c r="F13" s="175"/>
      <c r="G13" s="175"/>
      <c r="H13" s="175" t="s">
        <v>7</v>
      </c>
      <c r="I13" s="175" t="s">
        <v>8</v>
      </c>
      <c r="J13" s="175" t="s">
        <v>9</v>
      </c>
      <c r="K13" s="175" t="s">
        <v>11</v>
      </c>
      <c r="L13" s="175"/>
      <c r="M13" s="175"/>
      <c r="N13" s="172"/>
    </row>
    <row r="14" spans="1:16" ht="51" customHeight="1" x14ac:dyDescent="0.25">
      <c r="A14" s="179"/>
      <c r="B14" s="176"/>
      <c r="C14" s="176"/>
      <c r="D14" s="176"/>
      <c r="E14" s="123" t="s">
        <v>185</v>
      </c>
      <c r="F14" s="123" t="s">
        <v>186</v>
      </c>
      <c r="G14" s="123" t="s">
        <v>187</v>
      </c>
      <c r="H14" s="176"/>
      <c r="I14" s="176"/>
      <c r="J14" s="176"/>
      <c r="K14" s="123" t="s">
        <v>3</v>
      </c>
      <c r="L14" s="123" t="s">
        <v>4</v>
      </c>
      <c r="M14" s="123" t="s">
        <v>5</v>
      </c>
      <c r="N14" s="173"/>
    </row>
    <row r="15" spans="1:16" ht="110.25" x14ac:dyDescent="0.25">
      <c r="A15" s="147" t="s">
        <v>422</v>
      </c>
      <c r="B15" s="147" t="str">
        <f>IF(Таблица15[[#This Row],[Столбец1]]="","",INDEX(Лист2!$A$8:$O$179,MATCH(A15,Лист2!$B$8:$B$179,0),3))</f>
        <v>Создание</v>
      </c>
      <c r="C15" s="148" t="str">
        <f>IF(Таблица15[[#This Row],[Столбец1]]="","",INDEX(Лист2!$A$8:$O$179,MATCH(A15,Лист2!$B$8:$B$179,0),4))</f>
        <v xml:space="preserve">COM-система, проявочная машина Unomat с расходными материалами </v>
      </c>
      <c r="D15" s="147" t="str">
        <f>IF(Таблица15[[#This Row],[Столбец1]]="","",INDEX(Лист2!$A$8:$O$179,MATCH(A15,Лист2!$B$8:$B$179,0),5))</f>
        <v>отсутствует</v>
      </c>
      <c r="E15" s="149">
        <f>IF(Таблица15[[#This Row],[Столбец1]]="","",INDEX(Лист2!$A$8:$O$179,MATCH(A15,Лист2!$B$8:$B$179,0),6))</f>
        <v>14800</v>
      </c>
      <c r="F15" s="149">
        <f>IF(Таблица15[[#This Row],[Столбец1]]="","",INDEX(Лист2!$A$8:$O$179,MATCH(A15,Лист2!$B$8:$B$179,0),7))</f>
        <v>0</v>
      </c>
      <c r="G15" s="149">
        <f>IF(Таблица15[[#This Row],[Столбец1]]="","",INDEX(Лист2!$A$8:$O$179,MATCH(A15,Лист2!$B$8:$B$179,0),8))</f>
        <v>0</v>
      </c>
      <c r="H15" s="148" t="str">
        <f>IF(OR(Таблица15[[#This Row],[Столбец1]]="",Таблица15[[#This Row],[Столбец4]]="отсутствует"),"",INDEX(Лист2!$A$8:$O$179,MATCH(A15,Лист2!$B$8:$B$179,0),9))</f>
        <v/>
      </c>
      <c r="I15" s="147" t="str">
        <f>IF(OR(Таблица15[[#This Row],[Столбец1]]="",Таблица15[[#This Row],[Столбец4]]="отсутствует"),"",INDEX(Лист2!$A$8:$O$179,MATCH(A15,Лист2!$B$8:$B$179,0),10))</f>
        <v/>
      </c>
      <c r="J15" s="147" t="str">
        <f>IF(OR(Таблица15[[#This Row],[Столбец1]]="",Таблица15[[#This Row],[Столбец4]]="отсутствует"),"",INDEX(Лист2!$A$8:$O$179,MATCH(A15,Лист2!$B$8:$B$179,0),11))</f>
        <v/>
      </c>
      <c r="K15" s="147" t="str">
        <f>IF(OR(Таблица15[[#This Row],[Столбец1]]="",Таблица15[[#This Row],[Столбец4]]="отсутствует"),"",INDEX(Лист2!$A$8:$O$179,MATCH(A15,Лист2!$B$8:$B$179,0),12))</f>
        <v/>
      </c>
      <c r="L15" s="147" t="str">
        <f>IF(OR(Таблица15[[#This Row],[Столбец1]]="",Таблица15[[#This Row],[Столбец4]]="отсутствует"),"",INDEX(Лист2!$A$8:$O$179,MATCH(A15,Лист2!$B$8:$B$179,0),13))</f>
        <v/>
      </c>
      <c r="M15" s="147" t="str">
        <f>IF(OR(Таблица15[[#This Row],[Столбец1]]="",Таблица15[[#This Row],[Столбец4]]="отсутствует"),"",INDEX(Лист2!$A$8:$O$179,MATCH(A15,Лист2!$B$8:$B$179,0),14))</f>
        <v/>
      </c>
      <c r="N15" s="148" t="str">
        <f>IF(Таблица15[[#This Row],[Столбец1]]="","",IF(INDEX(Лист2!$A$8:$O$179,MATCH(A15,Лист2!$B$8:$B$179,0),15)=0,"",INDEX(Лист2!$A$8:$O$179,MATCH(A15,Лист2!$B$8:$B$179,0),15)))</f>
        <v>Постановление Правительства Оренбургской области от 29.12.2018 № 915-пп «Об утверждении государственной программы «Развитие культуры Оренбургской области» на 2019–2024 годы»"; основное мероприятие 1.4 "Развитие архивного дела"</v>
      </c>
      <c r="O15" s="142"/>
    </row>
    <row r="16" spans="1:16" ht="15.75" x14ac:dyDescent="0.25">
      <c r="A16" s="147"/>
      <c r="B16" s="147" t="str">
        <f>IF(Таблица15[[#This Row],[Столбец1]]="","",INDEX(Лист2!$A$8:$O$179,MATCH(A16,Лист2!$B$8:$B$179,0),3))</f>
        <v/>
      </c>
      <c r="C16" s="148" t="str">
        <f>IF(Таблица15[[#This Row],[Столбец1]]="","",INDEX(Лист2!$A$8:$O$179,MATCH(A16,Лист2!$B$8:$B$179,0),4))</f>
        <v/>
      </c>
      <c r="D16" s="147" t="str">
        <f>IF(Таблица15[[#This Row],[Столбец1]]="","",INDEX(Лист2!$A$8:$O$179,MATCH(A16,Лист2!$B$8:$B$179,0),5))</f>
        <v/>
      </c>
      <c r="E16" s="149" t="str">
        <f>IF(Таблица15[[#This Row],[Столбец1]]="","",INDEX(Лист2!$A$8:$O$179,MATCH(A16,Лист2!$B$8:$B$179,0),6))</f>
        <v/>
      </c>
      <c r="F16" s="149" t="str">
        <f>IF(Таблица15[[#This Row],[Столбец1]]="","",INDEX(Лист2!$A$8:$O$179,MATCH(A16,Лист2!$B$8:$B$179,0),7))</f>
        <v/>
      </c>
      <c r="G16" s="149" t="str">
        <f>IF(Таблица15[[#This Row],[Столбец1]]="","",INDEX(Лист2!$A$8:$O$179,MATCH(A16,Лист2!$B$8:$B$179,0),8))</f>
        <v/>
      </c>
      <c r="H16" s="148" t="str">
        <f>IF(OR(Таблица15[[#This Row],[Столбец1]]="",Таблица15[[#This Row],[Столбец4]]="отсутствует"),"",INDEX(Лист2!$A$8:$O$179,MATCH(A16,Лист2!$B$8:$B$179,0),9))</f>
        <v/>
      </c>
      <c r="I16" s="147" t="str">
        <f>IF(OR(Таблица15[[#This Row],[Столбец1]]="",Таблица15[[#This Row],[Столбец4]]="отсутствует"),"",INDEX(Лист2!$A$8:$O$179,MATCH(A16,Лист2!$B$8:$B$179,0),10))</f>
        <v/>
      </c>
      <c r="J16" s="147" t="str">
        <f>IF(OR(Таблица15[[#This Row],[Столбец1]]="",Таблица15[[#This Row],[Столбец4]]="отсутствует"),"",INDEX(Лист2!$A$8:$O$179,MATCH(A16,Лист2!$B$8:$B$179,0),11))</f>
        <v/>
      </c>
      <c r="K16" s="147" t="str">
        <f>IF(OR(Таблица15[[#This Row],[Столбец1]]="",Таблица15[[#This Row],[Столбец4]]="отсутствует"),"",INDEX(Лист2!$A$8:$O$179,MATCH(A16,Лист2!$B$8:$B$179,0),12))</f>
        <v/>
      </c>
      <c r="L16" s="147" t="str">
        <f>IF(OR(Таблица15[[#This Row],[Столбец1]]="",Таблица15[[#This Row],[Столбец4]]="отсутствует"),"",INDEX(Лист2!$A$8:$O$179,MATCH(A16,Лист2!$B$8:$B$179,0),13))</f>
        <v/>
      </c>
      <c r="M16" s="147" t="str">
        <f>IF(OR(Таблица15[[#This Row],[Столбец1]]="",Таблица15[[#This Row],[Столбец4]]="отсутствует"),"",INDEX(Лист2!$A$8:$O$179,MATCH(A16,Лист2!$B$8:$B$179,0),14))</f>
        <v/>
      </c>
      <c r="N16" s="148" t="str">
        <f>IF(Таблица15[[#This Row],[Столбец1]]="","",IF(INDEX(Лист2!$A$8:$O$179,MATCH(A16,Лист2!$B$8:$B$179,0),15)=0,"",INDEX(Лист2!$A$8:$O$179,MATCH(A16,Лист2!$B$8:$B$179,0),15)))</f>
        <v/>
      </c>
      <c r="O16" s="142"/>
    </row>
    <row r="17" spans="1:15" ht="15.75" x14ac:dyDescent="0.25">
      <c r="A17" s="147"/>
      <c r="B17" s="147" t="str">
        <f>IF(Таблица15[[#This Row],[Столбец1]]="","",INDEX(Лист2!$A$8:$O$179,MATCH(A17,Лист2!$B$8:$B$179,0),3))</f>
        <v/>
      </c>
      <c r="C17" s="148" t="str">
        <f>IF(Таблица15[[#This Row],[Столбец1]]="","",INDEX(Лист2!$A$8:$O$179,MATCH(A17,Лист2!$B$8:$B$179,0),4))</f>
        <v/>
      </c>
      <c r="D17" s="147" t="str">
        <f>IF(Таблица15[[#This Row],[Столбец1]]="","",INDEX(Лист2!$A$8:$O$179,MATCH(A17,Лист2!$B$8:$B$179,0),5))</f>
        <v/>
      </c>
      <c r="E17" s="149" t="str">
        <f>IF(Таблица15[[#This Row],[Столбец1]]="","",INDEX(Лист2!$A$8:$O$179,MATCH(A17,Лист2!$B$8:$B$179,0),6))</f>
        <v/>
      </c>
      <c r="F17" s="149" t="str">
        <f>IF(Таблица15[[#This Row],[Столбец1]]="","",INDEX(Лист2!$A$8:$O$179,MATCH(A17,Лист2!$B$8:$B$179,0),7))</f>
        <v/>
      </c>
      <c r="G17" s="149" t="str">
        <f>IF(Таблица15[[#This Row],[Столбец1]]="","",INDEX(Лист2!$A$8:$O$179,MATCH(A17,Лист2!$B$8:$B$179,0),8))</f>
        <v/>
      </c>
      <c r="H17" s="148" t="str">
        <f>IF(OR(Таблица15[[#This Row],[Столбец1]]="",Таблица15[[#This Row],[Столбец4]]="отсутствует"),"",INDEX(Лист2!$A$8:$O$179,MATCH(A17,Лист2!$B$8:$B$179,0),9))</f>
        <v/>
      </c>
      <c r="I17" s="147" t="str">
        <f>IF(OR(Таблица15[[#This Row],[Столбец1]]="",Таблица15[[#This Row],[Столбец4]]="отсутствует"),"",INDEX(Лист2!$A$8:$O$179,MATCH(A17,Лист2!$B$8:$B$179,0),10))</f>
        <v/>
      </c>
      <c r="J17" s="147" t="str">
        <f>IF(OR(Таблица15[[#This Row],[Столбец1]]="",Таблица15[[#This Row],[Столбец4]]="отсутствует"),"",INDEX(Лист2!$A$8:$O$179,MATCH(A17,Лист2!$B$8:$B$179,0),11))</f>
        <v/>
      </c>
      <c r="K17" s="147" t="str">
        <f>IF(OR(Таблица15[[#This Row],[Столбец1]]="",Таблица15[[#This Row],[Столбец4]]="отсутствует"),"",INDEX(Лист2!$A$8:$O$179,MATCH(A17,Лист2!$B$8:$B$179,0),12))</f>
        <v/>
      </c>
      <c r="L17" s="147" t="str">
        <f>IF(OR(Таблица15[[#This Row],[Столбец1]]="",Таблица15[[#This Row],[Столбец4]]="отсутствует"),"",INDEX(Лист2!$A$8:$O$179,MATCH(A17,Лист2!$B$8:$B$179,0),13))</f>
        <v/>
      </c>
      <c r="M17" s="147" t="str">
        <f>IF(OR(Таблица15[[#This Row],[Столбец1]]="",Таблица15[[#This Row],[Столбец4]]="отсутствует"),"",INDEX(Лист2!$A$8:$O$179,MATCH(A17,Лист2!$B$8:$B$179,0),14))</f>
        <v/>
      </c>
      <c r="N17" s="148" t="str">
        <f>IF(Таблица15[[#This Row],[Столбец1]]="","",IF(INDEX(Лист2!$A$8:$O$179,MATCH(A17,Лист2!$B$8:$B$179,0),15)=0,"",INDEX(Лист2!$A$8:$O$179,MATCH(A17,Лист2!$B$8:$B$179,0),15)))</f>
        <v/>
      </c>
      <c r="O17" s="142"/>
    </row>
    <row r="18" spans="1:15" ht="47.25" customHeight="1" x14ac:dyDescent="0.25">
      <c r="A18" s="170" t="s">
        <v>300</v>
      </c>
      <c r="B18" s="170"/>
      <c r="C18" s="170"/>
      <c r="D18" s="170"/>
      <c r="E18" s="150">
        <f>SUBTOTAL(109,Таблица15[[#All],[Столбец5]])</f>
        <v>14800</v>
      </c>
      <c r="F18" s="150">
        <f>SUBTOTAL(109,Таблица15[[#All],[Столбец6]])</f>
        <v>0</v>
      </c>
      <c r="G18" s="150">
        <f>SUBTOTAL(109,Таблица15[[#All],[Столбец7]])</f>
        <v>0</v>
      </c>
      <c r="H18" s="151"/>
      <c r="I18" s="152"/>
      <c r="J18" s="152"/>
      <c r="K18" s="152"/>
      <c r="L18" s="152"/>
      <c r="M18" s="152"/>
      <c r="N18" s="152"/>
      <c r="O18" s="142"/>
    </row>
    <row r="19" spans="1:15" ht="37.5" customHeight="1" x14ac:dyDescent="0.25">
      <c r="A19" s="147" t="s">
        <v>423</v>
      </c>
      <c r="B19" s="147" t="str">
        <f>IF(Таблица16[[#This Row],[Столбец1]]="","",INDEX(Лист2!$A$8:$O$179,MATCH(A19,Лист2!$B$8:$B$179,0),3))</f>
        <v>Создание</v>
      </c>
      <c r="C19" s="148" t="str">
        <f>IF(Таблица16[[#This Row],[Столбец1]]="","",INDEX(Лист2!$A$8:$O$179,MATCH(A19,Лист2!$B$8:$B$179,0),4))</f>
        <v>АРМ, оборудование для ЛВС</v>
      </c>
      <c r="D19" s="147" t="str">
        <f>IF(Таблица16[[#This Row],[Столбец1]]="","",INDEX(Лист2!$A$8:$O$179,MATCH(A19,Лист2!$B$8:$B$179,0),5))</f>
        <v>отсутствует</v>
      </c>
      <c r="E19" s="149">
        <f>IF(Таблица16[[#This Row],[Столбец1]]="","",INDEX(Лист2!$A$8:$O$179,MATCH(A19,Лист2!$B$8:$B$179,0),6))</f>
        <v>1710</v>
      </c>
      <c r="F19" s="149">
        <f>IF(Таблица16[[#This Row],[Столбец1]]="","",INDEX(Лист2!$A$8:$O$179,MATCH(A19,Лист2!$B$8:$B$179,0),7))</f>
        <v>675</v>
      </c>
      <c r="G19" s="149">
        <f>IF(Таблица16[[#This Row],[Столбец1]]="","",INDEX(Лист2!$A$8:$O$179,MATCH(A19,Лист2!$B$8:$B$179,0),8))</f>
        <v>675</v>
      </c>
      <c r="H19" s="148" t="str">
        <f>IF(OR(Таблица16[[#This Row],[Столбец1]]="",Таблица16[[#This Row],[Столбец4]]="отсутствует"),"",INDEX(Лист2!$A$8:$O$179,MATCH(A19,Лист2!$B$8:$B$179,0),9))</f>
        <v/>
      </c>
      <c r="I19" s="147" t="str">
        <f>IF(OR(Таблица16[[#This Row],[Столбец1]]="",Таблица16[[#This Row],[Столбец4]]="отсутствует"),"",INDEX(Лист2!$A$8:$O$179,MATCH(A19,Лист2!$B$8:$B$179,0),10))</f>
        <v/>
      </c>
      <c r="J19" s="147" t="str">
        <f>IF(OR(Таблица16[[#This Row],[Столбец1]]="",Таблица16[[#This Row],[Столбец4]]="отсутствует"),"",INDEX(Лист2!$A$8:$O$179,MATCH(A19,Лист2!$B$8:$B$179,0),11))</f>
        <v/>
      </c>
      <c r="K19" s="147" t="str">
        <f>IF(OR(Таблица16[[#This Row],[Столбец1]]="",Таблица16[[#This Row],[Столбец4]]="отсутствует"),"",INDEX(Лист2!$A$8:$O$179,MATCH(A19,Лист2!$B$8:$B$179,0),12))</f>
        <v/>
      </c>
      <c r="L19" s="147" t="str">
        <f>IF(OR(Таблица16[[#This Row],[Столбец1]]="",Таблица16[[#This Row],[Столбец4]]="отсутствует"),"",INDEX(Лист2!$A$8:$O$179,MATCH(A19,Лист2!$B$8:$B$179,0),13))</f>
        <v/>
      </c>
      <c r="M19" s="147" t="str">
        <f>IF(OR(Таблица16[[#This Row],[Столбец1]]="",Таблица16[[#This Row],[Столбец4]]="отсутствует"),"",INDEX(Лист2!$A$8:$O$179,MATCH(A19,Лист2!$B$8:$B$179,0),14))</f>
        <v/>
      </c>
      <c r="N19" s="148" t="str">
        <f>IF(Таблица16[[#This Row],[Столбец1]]="","",IF(INDEX(Лист2!$A$8:$O$179,MATCH(A19,Лист2!$B$8:$B$179,0),15)=0,"",INDEX(Лист2!$A$8:$O$179,MATCH(A19,Лист2!$B$8:$B$179,0),15)))</f>
        <v>Постановление Правительства Оренбургской области от 29.12.2018 № 915-пп «Об утверждении государственной программы «Развитие культуры Оренбургской области» на 2019–2024 годы»"; основное мероприятие 1.4 "Развитие архивного дела"</v>
      </c>
      <c r="O19" s="142"/>
    </row>
    <row r="20" spans="1:15" ht="15.75" x14ac:dyDescent="0.25">
      <c r="A20" s="147"/>
      <c r="B20" s="147" t="str">
        <f>IF(Таблица16[[#This Row],[Столбец1]]="","",INDEX(Лист2!$A$8:$O$179,MATCH(A20,Лист2!$B$8:$B$179,0),3))</f>
        <v/>
      </c>
      <c r="C20" s="148" t="str">
        <f>IF(Таблица16[[#This Row],[Столбец1]]="","",INDEX(Лист2!$A$8:$O$179,MATCH(A20,Лист2!$B$8:$B$179,0),4))</f>
        <v/>
      </c>
      <c r="D20" s="147" t="str">
        <f>IF(Таблица16[[#This Row],[Столбец1]]="","",INDEX(Лист2!$A$8:$O$179,MATCH(A20,Лист2!$B$8:$B$179,0),5))</f>
        <v/>
      </c>
      <c r="E20" s="149" t="str">
        <f>IF(Таблица16[[#This Row],[Столбец1]]="","",INDEX(Лист2!$A$8:$O$179,MATCH(A20,Лист2!$B$8:$B$179,0),6))</f>
        <v/>
      </c>
      <c r="F20" s="149" t="str">
        <f>IF(Таблица16[[#This Row],[Столбец1]]="","",INDEX(Лист2!$A$8:$O$179,MATCH(A20,Лист2!$B$8:$B$179,0),7))</f>
        <v/>
      </c>
      <c r="G20" s="149" t="str">
        <f>IF(Таблица16[[#This Row],[Столбец1]]="","",INDEX(Лист2!$A$8:$O$179,MATCH(A20,Лист2!$B$8:$B$179,0),8))</f>
        <v/>
      </c>
      <c r="H20" s="148" t="str">
        <f>IF(OR(Таблица16[[#This Row],[Столбец1]]="",Таблица16[[#This Row],[Столбец4]]="отсутствует"),"",INDEX(Лист2!$A$8:$O$179,MATCH(A20,Лист2!$B$8:$B$179,0),9))</f>
        <v/>
      </c>
      <c r="I20" s="147" t="str">
        <f>IF(OR(Таблица16[[#This Row],[Столбец1]]="",Таблица16[[#This Row],[Столбец4]]="отсутствует"),"",INDEX(Лист2!$A$8:$O$179,MATCH(A20,Лист2!$B$8:$B$179,0),10))</f>
        <v/>
      </c>
      <c r="J20" s="147" t="str">
        <f>IF(OR(Таблица16[[#This Row],[Столбец1]]="",Таблица16[[#This Row],[Столбец4]]="отсутствует"),"",INDEX(Лист2!$A$8:$O$179,MATCH(A20,Лист2!$B$8:$B$179,0),11))</f>
        <v/>
      </c>
      <c r="K20" s="147" t="str">
        <f>IF(OR(Таблица16[[#This Row],[Столбец1]]="",Таблица16[[#This Row],[Столбец4]]="отсутствует"),"",INDEX(Лист2!$A$8:$O$179,MATCH(A20,Лист2!$B$8:$B$179,0),12))</f>
        <v/>
      </c>
      <c r="L20" s="147" t="str">
        <f>IF(OR(Таблица16[[#This Row],[Столбец1]]="",Таблица16[[#This Row],[Столбец4]]="отсутствует"),"",INDEX(Лист2!$A$8:$O$179,MATCH(A20,Лист2!$B$8:$B$179,0),13))</f>
        <v/>
      </c>
      <c r="M20" s="147" t="str">
        <f>IF(OR(Таблица16[[#This Row],[Столбец1]]="",Таблица16[[#This Row],[Столбец4]]="отсутствует"),"",INDEX(Лист2!$A$8:$O$179,MATCH(A20,Лист2!$B$8:$B$179,0),14))</f>
        <v/>
      </c>
      <c r="N20" s="148" t="str">
        <f>IF(Таблица16[[#This Row],[Столбец1]]="","",IF(INDEX(Лист2!$A$8:$O$179,MATCH(A20,Лист2!$B$8:$B$179,0),15)=0,"",INDEX(Лист2!$A$8:$O$179,MATCH(A20,Лист2!$B$8:$B$179,0),15)))</f>
        <v/>
      </c>
      <c r="O20" s="142"/>
    </row>
    <row r="21" spans="1:15" ht="15.75" x14ac:dyDescent="0.25">
      <c r="A21" s="147"/>
      <c r="B21" s="147" t="str">
        <f>IF(Таблица16[[#This Row],[Столбец1]]="","",INDEX(Лист2!$A$8:$O$179,MATCH(A21,Лист2!$B$8:$B$179,0),3))</f>
        <v/>
      </c>
      <c r="C21" s="148" t="str">
        <f>IF(Таблица16[[#This Row],[Столбец1]]="","",INDEX(Лист2!$A$8:$O$179,MATCH(A21,Лист2!$B$8:$B$179,0),4))</f>
        <v/>
      </c>
      <c r="D21" s="147" t="str">
        <f>IF(Таблица16[[#This Row],[Столбец1]]="","",INDEX(Лист2!$A$8:$O$179,MATCH(A21,Лист2!$B$8:$B$179,0),5))</f>
        <v/>
      </c>
      <c r="E21" s="149" t="str">
        <f>IF(Таблица16[[#This Row],[Столбец1]]="","",INDEX(Лист2!$A$8:$O$179,MATCH(A21,Лист2!$B$8:$B$179,0),6))</f>
        <v/>
      </c>
      <c r="F21" s="149" t="str">
        <f>IF(Таблица16[[#This Row],[Столбец1]]="","",INDEX(Лист2!$A$8:$O$179,MATCH(A21,Лист2!$B$8:$B$179,0),7))</f>
        <v/>
      </c>
      <c r="G21" s="149" t="str">
        <f>IF(Таблица16[[#This Row],[Столбец1]]="","",INDEX(Лист2!$A$8:$O$179,MATCH(A21,Лист2!$B$8:$B$179,0),8))</f>
        <v/>
      </c>
      <c r="H21" s="148" t="str">
        <f>IF(OR(Таблица16[[#This Row],[Столбец1]]="",Таблица16[[#This Row],[Столбец4]]="отсутствует"),"",INDEX(Лист2!$A$8:$O$179,MATCH(A21,Лист2!$B$8:$B$179,0),9))</f>
        <v/>
      </c>
      <c r="I21" s="147" t="str">
        <f>IF(OR(Таблица16[[#This Row],[Столбец1]]="",Таблица16[[#This Row],[Столбец4]]="отсутствует"),"",INDEX(Лист2!$A$8:$O$179,MATCH(A21,Лист2!$B$8:$B$179,0),10))</f>
        <v/>
      </c>
      <c r="J21" s="147" t="str">
        <f>IF(OR(Таблица16[[#This Row],[Столбец1]]="",Таблица16[[#This Row],[Столбец4]]="отсутствует"),"",INDEX(Лист2!$A$8:$O$179,MATCH(A21,Лист2!$B$8:$B$179,0),11))</f>
        <v/>
      </c>
      <c r="K21" s="147" t="str">
        <f>IF(OR(Таблица16[[#This Row],[Столбец1]]="",Таблица16[[#This Row],[Столбец4]]="отсутствует"),"",INDEX(Лист2!$A$8:$O$179,MATCH(A21,Лист2!$B$8:$B$179,0),12))</f>
        <v/>
      </c>
      <c r="L21" s="147" t="str">
        <f>IF(OR(Таблица16[[#This Row],[Столбец1]]="",Таблица16[[#This Row],[Столбец4]]="отсутствует"),"",INDEX(Лист2!$A$8:$O$179,MATCH(A21,Лист2!$B$8:$B$179,0),13))</f>
        <v/>
      </c>
      <c r="M21" s="147" t="str">
        <f>IF(OR(Таблица16[[#This Row],[Столбец1]]="",Таблица16[[#This Row],[Столбец4]]="отсутствует"),"",INDEX(Лист2!$A$8:$O$179,MATCH(A21,Лист2!$B$8:$B$179,0),14))</f>
        <v/>
      </c>
      <c r="N21" s="148" t="str">
        <f>IF(Таблица16[[#This Row],[Столбец1]]="","",IF(INDEX(Лист2!$A$8:$O$179,MATCH(A21,Лист2!$B$8:$B$179,0),15)=0,"",INDEX(Лист2!$A$8:$O$179,MATCH(A21,Лист2!$B$8:$B$179,0),15)))</f>
        <v/>
      </c>
      <c r="O21" s="142"/>
    </row>
    <row r="22" spans="1:15" ht="15.75" x14ac:dyDescent="0.25">
      <c r="A22" s="147"/>
      <c r="B22" s="147" t="str">
        <f>IF(Таблица16[[#This Row],[Столбец1]]="","",INDEX(Лист2!$A$8:$O$179,MATCH(A22,Лист2!$B$8:$B$179,0),3))</f>
        <v/>
      </c>
      <c r="C22" s="148" t="str">
        <f>IF(Таблица16[[#This Row],[Столбец1]]="","",INDEX(Лист2!$A$8:$O$179,MATCH(A22,Лист2!$B$8:$B$179,0),4))</f>
        <v/>
      </c>
      <c r="D22" s="147" t="str">
        <f>IF(Таблица16[[#This Row],[Столбец1]]="","",INDEX(Лист2!$A$8:$O$179,MATCH(A22,Лист2!$B$8:$B$179,0),5))</f>
        <v/>
      </c>
      <c r="E22" s="149" t="str">
        <f>IF(Таблица16[[#This Row],[Столбец1]]="","",INDEX(Лист2!$A$8:$O$179,MATCH(A22,Лист2!$B$8:$B$179,0),6))</f>
        <v/>
      </c>
      <c r="F22" s="149" t="str">
        <f>IF(Таблица16[[#This Row],[Столбец1]]="","",INDEX(Лист2!$A$8:$O$179,MATCH(A22,Лист2!$B$8:$B$179,0),7))</f>
        <v/>
      </c>
      <c r="G22" s="149" t="str">
        <f>IF(Таблица16[[#This Row],[Столбец1]]="","",INDEX(Лист2!$A$8:$O$179,MATCH(A22,Лист2!$B$8:$B$179,0),8))</f>
        <v/>
      </c>
      <c r="H22" s="148" t="str">
        <f>IF(OR(Таблица16[[#This Row],[Столбец1]]="",Таблица16[[#This Row],[Столбец4]]="отсутствует"),"",INDEX(Лист2!$A$8:$O$179,MATCH(A22,Лист2!$B$8:$B$179,0),9))</f>
        <v/>
      </c>
      <c r="I22" s="147" t="str">
        <f>IF(OR(Таблица16[[#This Row],[Столбец1]]="",Таблица16[[#This Row],[Столбец4]]="отсутствует"),"",INDEX(Лист2!$A$8:$O$179,MATCH(A22,Лист2!$B$8:$B$179,0),10))</f>
        <v/>
      </c>
      <c r="J22" s="147" t="str">
        <f>IF(OR(Таблица16[[#This Row],[Столбец1]]="",Таблица16[[#This Row],[Столбец4]]="отсутствует"),"",INDEX(Лист2!$A$8:$O$179,MATCH(A22,Лист2!$B$8:$B$179,0),11))</f>
        <v/>
      </c>
      <c r="K22" s="147" t="str">
        <f>IF(OR(Таблица16[[#This Row],[Столбец1]]="",Таблица16[[#This Row],[Столбец4]]="отсутствует"),"",INDEX(Лист2!$A$8:$O$179,MATCH(A22,Лист2!$B$8:$B$179,0),12))</f>
        <v/>
      </c>
      <c r="L22" s="147" t="str">
        <f>IF(OR(Таблица16[[#This Row],[Столбец1]]="",Таблица16[[#This Row],[Столбец4]]="отсутствует"),"",INDEX(Лист2!$A$8:$O$179,MATCH(A22,Лист2!$B$8:$B$179,0),13))</f>
        <v/>
      </c>
      <c r="M22" s="147" t="str">
        <f>IF(OR(Таблица16[[#This Row],[Столбец1]]="",Таблица16[[#This Row],[Столбец4]]="отсутствует"),"",INDEX(Лист2!$A$8:$O$179,MATCH(A22,Лист2!$B$8:$B$179,0),14))</f>
        <v/>
      </c>
      <c r="N22" s="148" t="str">
        <f>IF(Таблица16[[#This Row],[Столбец1]]="","",IF(INDEX(Лист2!$A$8:$O$179,MATCH(A22,Лист2!$B$8:$B$179,0),15)=0,"",INDEX(Лист2!$A$8:$O$179,MATCH(A22,Лист2!$B$8:$B$179,0),15)))</f>
        <v/>
      </c>
      <c r="O22" s="142"/>
    </row>
    <row r="23" spans="1:15" ht="15.75" x14ac:dyDescent="0.25">
      <c r="A23" s="147"/>
      <c r="B23" s="147" t="str">
        <f>IF(Таблица16[[#This Row],[Столбец1]]="","",INDEX(Лист2!$A$8:$O$179,MATCH(A23,Лист2!$B$8:$B$179,0),3))</f>
        <v/>
      </c>
      <c r="C23" s="148" t="str">
        <f>IF(Таблица16[[#This Row],[Столбец1]]="","",INDEX(Лист2!$A$8:$O$179,MATCH(A23,Лист2!$B$8:$B$179,0),4))</f>
        <v/>
      </c>
      <c r="D23" s="147" t="str">
        <f>IF(Таблица16[[#This Row],[Столбец1]]="","",INDEX(Лист2!$A$8:$O$179,MATCH(A23,Лист2!$B$8:$B$179,0),5))</f>
        <v/>
      </c>
      <c r="E23" s="149" t="str">
        <f>IF(Таблица16[[#This Row],[Столбец1]]="","",INDEX(Лист2!$A$8:$O$179,MATCH(A23,Лист2!$B$8:$B$179,0),6))</f>
        <v/>
      </c>
      <c r="F23" s="149" t="str">
        <f>IF(Таблица16[[#This Row],[Столбец1]]="","",INDEX(Лист2!$A$8:$O$179,MATCH(A23,Лист2!$B$8:$B$179,0),7))</f>
        <v/>
      </c>
      <c r="G23" s="149" t="str">
        <f>IF(Таблица16[[#This Row],[Столбец1]]="","",INDEX(Лист2!$A$8:$O$179,MATCH(A23,Лист2!$B$8:$B$179,0),8))</f>
        <v/>
      </c>
      <c r="H23" s="148" t="str">
        <f>IF(OR(Таблица16[[#This Row],[Столбец1]]="",Таблица16[[#This Row],[Столбец4]]="отсутствует"),"",INDEX(Лист2!$A$8:$O$179,MATCH(A23,Лист2!$B$8:$B$179,0),9))</f>
        <v/>
      </c>
      <c r="I23" s="147" t="str">
        <f>IF(OR(Таблица16[[#This Row],[Столбец1]]="",Таблица16[[#This Row],[Столбец4]]="отсутствует"),"",INDEX(Лист2!$A$8:$O$179,MATCH(A23,Лист2!$B$8:$B$179,0),10))</f>
        <v/>
      </c>
      <c r="J23" s="147" t="str">
        <f>IF(OR(Таблица16[[#This Row],[Столбец1]]="",Таблица16[[#This Row],[Столбец4]]="отсутствует"),"",INDEX(Лист2!$A$8:$O$179,MATCH(A23,Лист2!$B$8:$B$179,0),11))</f>
        <v/>
      </c>
      <c r="K23" s="147" t="str">
        <f>IF(OR(Таблица16[[#This Row],[Столбец1]]="",Таблица16[[#This Row],[Столбец4]]="отсутствует"),"",INDEX(Лист2!$A$8:$O$179,MATCH(A23,Лист2!$B$8:$B$179,0),12))</f>
        <v/>
      </c>
      <c r="L23" s="147" t="str">
        <f>IF(OR(Таблица16[[#This Row],[Столбец1]]="",Таблица16[[#This Row],[Столбец4]]="отсутствует"),"",INDEX(Лист2!$A$8:$O$179,MATCH(A23,Лист2!$B$8:$B$179,0),13))</f>
        <v/>
      </c>
      <c r="M23" s="147" t="str">
        <f>IF(OR(Таблица16[[#This Row],[Столбец1]]="",Таблица16[[#This Row],[Столбец4]]="отсутствует"),"",INDEX(Лист2!$A$8:$O$179,MATCH(A23,Лист2!$B$8:$B$179,0),14))</f>
        <v/>
      </c>
      <c r="N23" s="148" t="str">
        <f>IF(Таблица16[[#This Row],[Столбец1]]="","",IF(INDEX(Лист2!$A$8:$O$179,MATCH(A23,Лист2!$B$8:$B$179,0),15)=0,"",INDEX(Лист2!$A$8:$O$179,MATCH(A23,Лист2!$B$8:$B$179,0),15)))</f>
        <v/>
      </c>
      <c r="O23" s="142"/>
    </row>
    <row r="24" spans="1:15" ht="15.75" x14ac:dyDescent="0.25">
      <c r="A24" s="147"/>
      <c r="B24" s="147" t="str">
        <f>IF(Таблица16[[#This Row],[Столбец1]]="","",INDEX(Лист2!$A$8:$O$179,MATCH(A24,Лист2!$B$8:$B$179,0),3))</f>
        <v/>
      </c>
      <c r="C24" s="148" t="str">
        <f>IF(Таблица16[[#This Row],[Столбец1]]="","",INDEX(Лист2!$A$8:$O$179,MATCH(A24,Лист2!$B$8:$B$179,0),4))</f>
        <v/>
      </c>
      <c r="D24" s="147" t="str">
        <f>IF(Таблица16[[#This Row],[Столбец1]]="","",INDEX(Лист2!$A$8:$O$179,MATCH(A24,Лист2!$B$8:$B$179,0),5))</f>
        <v/>
      </c>
      <c r="E24" s="149" t="str">
        <f>IF(Таблица16[[#This Row],[Столбец1]]="","",INDEX(Лист2!$A$8:$O$179,MATCH(A24,Лист2!$B$8:$B$179,0),6))</f>
        <v/>
      </c>
      <c r="F24" s="149" t="str">
        <f>IF(Таблица16[[#This Row],[Столбец1]]="","",INDEX(Лист2!$A$8:$O$179,MATCH(A24,Лист2!$B$8:$B$179,0),7))</f>
        <v/>
      </c>
      <c r="G24" s="149" t="str">
        <f>IF(Таблица16[[#This Row],[Столбец1]]="","",INDEX(Лист2!$A$8:$O$179,MATCH(A24,Лист2!$B$8:$B$179,0),8))</f>
        <v/>
      </c>
      <c r="H24" s="148" t="str">
        <f>IF(OR(Таблица16[[#This Row],[Столбец1]]="",Таблица16[[#This Row],[Столбец4]]="отсутствует"),"",INDEX(Лист2!$A$8:$O$179,MATCH(A24,Лист2!$B$8:$B$179,0),9))</f>
        <v/>
      </c>
      <c r="I24" s="147" t="str">
        <f>IF(OR(Таблица16[[#This Row],[Столбец1]]="",Таблица16[[#This Row],[Столбец4]]="отсутствует"),"",INDEX(Лист2!$A$8:$O$179,MATCH(A24,Лист2!$B$8:$B$179,0),10))</f>
        <v/>
      </c>
      <c r="J24" s="147" t="str">
        <f>IF(OR(Таблица16[[#This Row],[Столбец1]]="",Таблица16[[#This Row],[Столбец4]]="отсутствует"),"",INDEX(Лист2!$A$8:$O$179,MATCH(A24,Лист2!$B$8:$B$179,0),11))</f>
        <v/>
      </c>
      <c r="K24" s="147" t="str">
        <f>IF(OR(Таблица16[[#This Row],[Столбец1]]="",Таблица16[[#This Row],[Столбец4]]="отсутствует"),"",INDEX(Лист2!$A$8:$O$179,MATCH(A24,Лист2!$B$8:$B$179,0),12))</f>
        <v/>
      </c>
      <c r="L24" s="147" t="str">
        <f>IF(OR(Таблица16[[#This Row],[Столбец1]]="",Таблица16[[#This Row],[Столбец4]]="отсутствует"),"",INDEX(Лист2!$A$8:$O$179,MATCH(A24,Лист2!$B$8:$B$179,0),13))</f>
        <v/>
      </c>
      <c r="M24" s="147" t="str">
        <f>IF(OR(Таблица16[[#This Row],[Столбец1]]="",Таблица16[[#This Row],[Столбец4]]="отсутствует"),"",INDEX(Лист2!$A$8:$O$179,MATCH(A24,Лист2!$B$8:$B$179,0),14))</f>
        <v/>
      </c>
      <c r="N24" s="148" t="str">
        <f>IF(Таблица16[[#This Row],[Столбец1]]="","",IF(INDEX(Лист2!$A$8:$O$179,MATCH(A24,Лист2!$B$8:$B$179,0),15)=0,"",INDEX(Лист2!$A$8:$O$179,MATCH(A24,Лист2!$B$8:$B$179,0),15)))</f>
        <v/>
      </c>
      <c r="O24" s="142"/>
    </row>
    <row r="25" spans="1:15" ht="15.75" x14ac:dyDescent="0.25">
      <c r="A25" s="147"/>
      <c r="B25" s="147" t="str">
        <f>IF(Таблица16[[#This Row],[Столбец1]]="","",INDEX(Лист2!$A$8:$O$179,MATCH(A25,Лист2!$B$8:$B$179,0),3))</f>
        <v/>
      </c>
      <c r="C25" s="148" t="str">
        <f>IF(Таблица16[[#This Row],[Столбец1]]="","",INDEX(Лист2!$A$8:$O$179,MATCH(A25,Лист2!$B$8:$B$179,0),4))</f>
        <v/>
      </c>
      <c r="D25" s="147" t="str">
        <f>IF(Таблица16[[#This Row],[Столбец1]]="","",INDEX(Лист2!$A$8:$O$179,MATCH(A25,Лист2!$B$8:$B$179,0),5))</f>
        <v/>
      </c>
      <c r="E25" s="149" t="str">
        <f>IF(Таблица16[[#This Row],[Столбец1]]="","",INDEX(Лист2!$A$8:$O$179,MATCH(A25,Лист2!$B$8:$B$179,0),6))</f>
        <v/>
      </c>
      <c r="F25" s="149" t="str">
        <f>IF(Таблица16[[#This Row],[Столбец1]]="","",INDEX(Лист2!$A$8:$O$179,MATCH(A25,Лист2!$B$8:$B$179,0),7))</f>
        <v/>
      </c>
      <c r="G25" s="149" t="str">
        <f>IF(Таблица16[[#This Row],[Столбец1]]="","",INDEX(Лист2!$A$8:$O$179,MATCH(A25,Лист2!$B$8:$B$179,0),8))</f>
        <v/>
      </c>
      <c r="H25" s="148" t="str">
        <f>IF(OR(Таблица16[[#This Row],[Столбец1]]="",Таблица16[[#This Row],[Столбец4]]="отсутствует"),"",INDEX(Лист2!$A$8:$O$179,MATCH(A25,Лист2!$B$8:$B$179,0),9))</f>
        <v/>
      </c>
      <c r="I25" s="147" t="str">
        <f>IF(OR(Таблица16[[#This Row],[Столбец1]]="",Таблица16[[#This Row],[Столбец4]]="отсутствует"),"",INDEX(Лист2!$A$8:$O$179,MATCH(A25,Лист2!$B$8:$B$179,0),10))</f>
        <v/>
      </c>
      <c r="J25" s="147" t="str">
        <f>IF(OR(Таблица16[[#This Row],[Столбец1]]="",Таблица16[[#This Row],[Столбец4]]="отсутствует"),"",INDEX(Лист2!$A$8:$O$179,MATCH(A25,Лист2!$B$8:$B$179,0),11))</f>
        <v/>
      </c>
      <c r="K25" s="147" t="str">
        <f>IF(OR(Таблица16[[#This Row],[Столбец1]]="",Таблица16[[#This Row],[Столбец4]]="отсутствует"),"",INDEX(Лист2!$A$8:$O$179,MATCH(A25,Лист2!$B$8:$B$179,0),12))</f>
        <v/>
      </c>
      <c r="L25" s="147" t="str">
        <f>IF(OR(Таблица16[[#This Row],[Столбец1]]="",Таблица16[[#This Row],[Столбец4]]="отсутствует"),"",INDEX(Лист2!$A$8:$O$179,MATCH(A25,Лист2!$B$8:$B$179,0),13))</f>
        <v/>
      </c>
      <c r="M25" s="147" t="str">
        <f>IF(OR(Таблица16[[#This Row],[Столбец1]]="",Таблица16[[#This Row],[Столбец4]]="отсутствует"),"",INDEX(Лист2!$A$8:$O$179,MATCH(A25,Лист2!$B$8:$B$179,0),14))</f>
        <v/>
      </c>
      <c r="N25" s="148" t="str">
        <f>IF(Таблица16[[#This Row],[Столбец1]]="","",IF(INDEX(Лист2!$A$8:$O$179,MATCH(A25,Лист2!$B$8:$B$179,0),15)=0,"",INDEX(Лист2!$A$8:$O$179,MATCH(A25,Лист2!$B$8:$B$179,0),15)))</f>
        <v/>
      </c>
      <c r="O25" s="142"/>
    </row>
    <row r="26" spans="1:15" ht="15.75" x14ac:dyDescent="0.25">
      <c r="A26" s="170" t="s">
        <v>301</v>
      </c>
      <c r="B26" s="170"/>
      <c r="C26" s="170"/>
      <c r="D26" s="170"/>
      <c r="E26" s="150">
        <f>SUBTOTAL(109,Таблица16[[#All],[Столбец5]])</f>
        <v>1710</v>
      </c>
      <c r="F26" s="150">
        <f>SUBTOTAL(109,Таблица16[[#All],[Столбец6]])</f>
        <v>675</v>
      </c>
      <c r="G26" s="150">
        <f>SUM(Таблица16[[#All],[Столбец7]])</f>
        <v>675</v>
      </c>
      <c r="H26" s="151"/>
      <c r="I26" s="152"/>
      <c r="J26" s="152"/>
      <c r="K26" s="152"/>
      <c r="L26" s="152"/>
      <c r="M26" s="152"/>
      <c r="N26" s="152"/>
      <c r="O26" s="142"/>
    </row>
    <row r="27" spans="1:15" ht="15.75" x14ac:dyDescent="0.25">
      <c r="A27" s="147"/>
      <c r="B27" s="147" t="str">
        <f>IF(Таблица17[[#This Row],[Столбец1]]="","",INDEX(Лист2!$A$8:$O$179,MATCH(A27,Лист2!$B$8:$B$179,0),3))</f>
        <v/>
      </c>
      <c r="C27" s="148" t="str">
        <f>IF(Таблица17[[#This Row],[Столбец1]]="","",INDEX(Лист2!$A$8:$O$179,MATCH(A27,Лист2!$B$8:$B$179,0),4))</f>
        <v/>
      </c>
      <c r="D27" s="147" t="str">
        <f>IF(Таблица17[[#This Row],[Столбец1]]="","",INDEX(Лист2!$A$8:$O$179,MATCH(A27,Лист2!$B$8:$B$179,0),5))</f>
        <v/>
      </c>
      <c r="E27" s="149" t="str">
        <f>IF(Таблица17[[#This Row],[Столбец1]]="","",INDEX(Лист2!$A$8:$O$179,MATCH(A27,Лист2!$B$8:$B$179,0),6))</f>
        <v/>
      </c>
      <c r="F27" s="149" t="str">
        <f>IF(Таблица17[[#This Row],[Столбец1]]="","",INDEX(Лист2!$A$8:$O$179,MATCH(A27,Лист2!$B$8:$B$179,0),7))</f>
        <v/>
      </c>
      <c r="G27" s="149" t="str">
        <f>IF(Таблица17[[#This Row],[Столбец1]]="","",INDEX(Лист2!$A$8:$O$179,MATCH(A27,Лист2!$B$8:$B$179,0),8))</f>
        <v/>
      </c>
      <c r="H27" s="148" t="str">
        <f>IF(OR(Таблица17[[#This Row],[Столбец1]]="",Таблица17[[#This Row],[Столбец4]]="отсутствует"),"",INDEX(Лист2!$A$8:$O$179,MATCH(A27,Лист2!$B$8:$B$179,0),9))</f>
        <v/>
      </c>
      <c r="I27" s="147" t="str">
        <f>IF(OR(Таблица17[[#This Row],[Столбец1]]="",Таблица17[[#This Row],[Столбец4]]="отсутствует"),"",INDEX(Лист2!$A$8:$O$179,MATCH(A27,Лист2!$B$8:$B$179,0),10))</f>
        <v/>
      </c>
      <c r="J27" s="147" t="str">
        <f>IF(OR(Таблица17[[#This Row],[Столбец1]]="",Таблица17[[#This Row],[Столбец4]]="отсутствует"),"",INDEX(Лист2!$A$8:$O$179,MATCH(A27,Лист2!$B$8:$B$179,0),11))</f>
        <v/>
      </c>
      <c r="K27" s="147" t="str">
        <f>IF(OR(Таблица17[[#This Row],[Столбец1]]="",Таблица17[[#This Row],[Столбец4]]="отсутствует"),"",INDEX(Лист2!$A$8:$O$179,MATCH(A27,Лист2!$B$8:$B$179,0),12))</f>
        <v/>
      </c>
      <c r="L27" s="147" t="str">
        <f>IF(OR(Таблица17[[#This Row],[Столбец1]]="",Таблица17[[#This Row],[Столбец4]]="отсутствует"),"",INDEX(Лист2!$A$8:$O$179,MATCH(A27,Лист2!$B$8:$B$179,0),13))</f>
        <v/>
      </c>
      <c r="M27" s="147" t="str">
        <f>IF(OR(Таблица17[[#This Row],[Столбец1]]="",Таблица17[[#This Row],[Столбец4]]="отсутствует"),"",INDEX(Лист2!$A$8:$O$179,MATCH(A27,Лист2!$B$8:$B$179,0),14))</f>
        <v/>
      </c>
      <c r="N27" s="148" t="str">
        <f>IF(Таблица17[[#This Row],[Столбец1]]="","",IF(INDEX(Лист2!$A$8:$O$179,MATCH(A27,Лист2!$B$8:$B$179,0),15)=0,"",INDEX(Лист2!$A$8:$O$179,MATCH(A27,Лист2!$B$8:$B$179,0),15)))</f>
        <v/>
      </c>
      <c r="O27" s="142"/>
    </row>
    <row r="28" spans="1:15" ht="18.75" customHeight="1" x14ac:dyDescent="0.25">
      <c r="A28" s="147"/>
      <c r="B28" s="147" t="str">
        <f>IF(Таблица17[[#This Row],[Столбец1]]="","",INDEX(Лист2!$A$8:$O$179,MATCH(A28,Лист2!$B$8:$B$179,0),3))</f>
        <v/>
      </c>
      <c r="C28" s="148" t="str">
        <f>IF(Таблица17[[#This Row],[Столбец1]]="","",INDEX(Лист2!$A$8:$O$179,MATCH(A28,Лист2!$B$8:$B$179,0),4))</f>
        <v/>
      </c>
      <c r="D28" s="147" t="str">
        <f>IF(Таблица17[[#This Row],[Столбец1]]="","",INDEX(Лист2!$A$8:$O$179,MATCH(A28,Лист2!$B$8:$B$179,0),5))</f>
        <v/>
      </c>
      <c r="E28" s="149" t="str">
        <f>IF(Таблица17[[#This Row],[Столбец1]]="","",INDEX(Лист2!$A$8:$O$179,MATCH(A28,Лист2!$B$8:$B$179,0),6))</f>
        <v/>
      </c>
      <c r="F28" s="149" t="str">
        <f>IF(Таблица17[[#This Row],[Столбец1]]="","",INDEX(Лист2!$A$8:$O$179,MATCH(A28,Лист2!$B$8:$B$179,0),7))</f>
        <v/>
      </c>
      <c r="G28" s="149" t="str">
        <f>IF(Таблица17[[#This Row],[Столбец1]]="","",INDEX(Лист2!$A$8:$O$179,MATCH(A28,Лист2!$B$8:$B$179,0),8))</f>
        <v/>
      </c>
      <c r="H28" s="148" t="str">
        <f>IF(OR(Таблица17[[#This Row],[Столбец1]]="",Таблица17[[#This Row],[Столбец4]]="отсутствует"),"",INDEX(Лист2!$A$8:$O$179,MATCH(A28,Лист2!$B$8:$B$179,0),9))</f>
        <v/>
      </c>
      <c r="I28" s="147" t="str">
        <f>IF(OR(Таблица17[[#This Row],[Столбец1]]="",Таблица17[[#This Row],[Столбец4]]="отсутствует"),"",INDEX(Лист2!$A$8:$O$179,MATCH(A28,Лист2!$B$8:$B$179,0),10))</f>
        <v/>
      </c>
      <c r="J28" s="147" t="str">
        <f>IF(OR(Таблица17[[#This Row],[Столбец1]]="",Таблица17[[#This Row],[Столбец4]]="отсутствует"),"",INDEX(Лист2!$A$8:$O$179,MATCH(A28,Лист2!$B$8:$B$179,0),11))</f>
        <v/>
      </c>
      <c r="K28" s="147" t="str">
        <f>IF(OR(Таблица17[[#This Row],[Столбец1]]="",Таблица17[[#This Row],[Столбец4]]="отсутствует"),"",INDEX(Лист2!$A$8:$O$179,MATCH(A28,Лист2!$B$8:$B$179,0),12))</f>
        <v/>
      </c>
      <c r="L28" s="147" t="str">
        <f>IF(OR(Таблица17[[#This Row],[Столбец1]]="",Таблица17[[#This Row],[Столбец4]]="отсутствует"),"",INDEX(Лист2!$A$8:$O$179,MATCH(A28,Лист2!$B$8:$B$179,0),13))</f>
        <v/>
      </c>
      <c r="M28" s="147" t="str">
        <f>IF(OR(Таблица17[[#This Row],[Столбец1]]="",Таблица17[[#This Row],[Столбец4]]="отсутствует"),"",INDEX(Лист2!$A$8:$O$179,MATCH(A28,Лист2!$B$8:$B$179,0),14))</f>
        <v/>
      </c>
      <c r="N28" s="148" t="str">
        <f>IF(Таблица17[[#This Row],[Столбец1]]="","",IF(INDEX(Лист2!$A$8:$O$179,MATCH(A28,Лист2!$B$8:$B$179,0),15)=0,"",INDEX(Лист2!$A$8:$O$179,MATCH(A28,Лист2!$B$8:$B$179,0),15)))</f>
        <v/>
      </c>
      <c r="O28" s="142"/>
    </row>
    <row r="29" spans="1:15" ht="15.75" x14ac:dyDescent="0.25">
      <c r="A29" s="147"/>
      <c r="B29" s="147" t="str">
        <f>IF(Таблица17[[#This Row],[Столбец1]]="","",INDEX(Лист2!$A$8:$O$179,MATCH(A29,Лист2!$B$8:$B$179,0),3))</f>
        <v/>
      </c>
      <c r="C29" s="148" t="str">
        <f>IF(Таблица17[[#This Row],[Столбец1]]="","",INDEX(Лист2!$A$8:$O$179,MATCH(A29,Лист2!$B$8:$B$179,0),4))</f>
        <v/>
      </c>
      <c r="D29" s="147" t="str">
        <f>IF(Таблица17[[#This Row],[Столбец1]]="","",INDEX(Лист2!$A$8:$O$179,MATCH(A29,Лист2!$B$8:$B$179,0),5))</f>
        <v/>
      </c>
      <c r="E29" s="149" t="str">
        <f>IF(Таблица17[[#This Row],[Столбец1]]="","",INDEX(Лист2!$A$8:$O$179,MATCH(A29,Лист2!$B$8:$B$179,0),6))</f>
        <v/>
      </c>
      <c r="F29" s="149" t="str">
        <f>IF(Таблица17[[#This Row],[Столбец1]]="","",INDEX(Лист2!$A$8:$O$179,MATCH(A29,Лист2!$B$8:$B$179,0),7))</f>
        <v/>
      </c>
      <c r="G29" s="149" t="str">
        <f>IF(Таблица17[[#This Row],[Столбец1]]="","",INDEX(Лист2!$A$8:$O$179,MATCH(A29,Лист2!$B$8:$B$179,0),8))</f>
        <v/>
      </c>
      <c r="H29" s="148" t="str">
        <f>IF(OR(Таблица17[[#This Row],[Столбец1]]="",Таблица17[[#This Row],[Столбец4]]="отсутствует"),"",INDEX(Лист2!$A$8:$O$179,MATCH(A29,Лист2!$B$8:$B$179,0),9))</f>
        <v/>
      </c>
      <c r="I29" s="147" t="str">
        <f>IF(OR(Таблица17[[#This Row],[Столбец1]]="",Таблица17[[#This Row],[Столбец4]]="отсутствует"),"",INDEX(Лист2!$A$8:$O$179,MATCH(A29,Лист2!$B$8:$B$179,0),10))</f>
        <v/>
      </c>
      <c r="J29" s="147" t="str">
        <f>IF(OR(Таблица17[[#This Row],[Столбец1]]="",Таблица17[[#This Row],[Столбец4]]="отсутствует"),"",INDEX(Лист2!$A$8:$O$179,MATCH(A29,Лист2!$B$8:$B$179,0),11))</f>
        <v/>
      </c>
      <c r="K29" s="147" t="str">
        <f>IF(OR(Таблица17[[#This Row],[Столбец1]]="",Таблица17[[#This Row],[Столбец4]]="отсутствует"),"",INDEX(Лист2!$A$8:$O$179,MATCH(A29,Лист2!$B$8:$B$179,0),12))</f>
        <v/>
      </c>
      <c r="L29" s="147" t="str">
        <f>IF(OR(Таблица17[[#This Row],[Столбец1]]="",Таблица17[[#This Row],[Столбец4]]="отсутствует"),"",INDEX(Лист2!$A$8:$O$179,MATCH(A29,Лист2!$B$8:$B$179,0),13))</f>
        <v/>
      </c>
      <c r="M29" s="147" t="str">
        <f>IF(OR(Таблица17[[#This Row],[Столбец1]]="",Таблица17[[#This Row],[Столбец4]]="отсутствует"),"",INDEX(Лист2!$A$8:$O$179,MATCH(A29,Лист2!$B$8:$B$179,0),14))</f>
        <v/>
      </c>
      <c r="N29" s="148" t="str">
        <f>IF(Таблица17[[#This Row],[Столбец1]]="","",IF(INDEX(Лист2!$A$8:$O$179,MATCH(A29,Лист2!$B$8:$B$179,0),15)=0,"",INDEX(Лист2!$A$8:$O$179,MATCH(A29,Лист2!$B$8:$B$179,0),15)))</f>
        <v/>
      </c>
      <c r="O29" s="142"/>
    </row>
    <row r="30" spans="1:15" ht="15.75" x14ac:dyDescent="0.25">
      <c r="A30" s="147"/>
      <c r="B30" s="147" t="str">
        <f>IF(Таблица17[[#This Row],[Столбец1]]="","",INDEX(Лист2!$A$8:$O$179,MATCH(A30,Лист2!$B$8:$B$179,0),3))</f>
        <v/>
      </c>
      <c r="C30" s="148" t="str">
        <f>IF(Таблица17[[#This Row],[Столбец1]]="","",INDEX(Лист2!$A$8:$O$179,MATCH(A30,Лист2!$B$8:$B$179,0),4))</f>
        <v/>
      </c>
      <c r="D30" s="147" t="str">
        <f>IF(Таблица17[[#This Row],[Столбец1]]="","",INDEX(Лист2!$A$8:$O$179,MATCH(A30,Лист2!$B$8:$B$179,0),5))</f>
        <v/>
      </c>
      <c r="E30" s="149" t="str">
        <f>IF(Таблица17[[#This Row],[Столбец1]]="","",INDEX(Лист2!$A$8:$O$179,MATCH(A30,Лист2!$B$8:$B$179,0),6))</f>
        <v/>
      </c>
      <c r="F30" s="149" t="str">
        <f>IF(Таблица17[[#This Row],[Столбец1]]="","",INDEX(Лист2!$A$8:$O$179,MATCH(A30,Лист2!$B$8:$B$179,0),7))</f>
        <v/>
      </c>
      <c r="G30" s="149" t="str">
        <f>IF(Таблица17[[#This Row],[Столбец1]]="","",INDEX(Лист2!$A$8:$O$179,MATCH(A30,Лист2!$B$8:$B$179,0),8))</f>
        <v/>
      </c>
      <c r="H30" s="148" t="str">
        <f>IF(OR(Таблица17[[#This Row],[Столбец1]]="",Таблица17[[#This Row],[Столбец4]]="отсутствует"),"",INDEX(Лист2!$A$8:$O$179,MATCH(A30,Лист2!$B$8:$B$179,0),9))</f>
        <v/>
      </c>
      <c r="I30" s="147" t="str">
        <f>IF(OR(Таблица17[[#This Row],[Столбец1]]="",Таблица17[[#This Row],[Столбец4]]="отсутствует"),"",INDEX(Лист2!$A$8:$O$179,MATCH(A30,Лист2!$B$8:$B$179,0),10))</f>
        <v/>
      </c>
      <c r="J30" s="147" t="str">
        <f>IF(OR(Таблица17[[#This Row],[Столбец1]]="",Таблица17[[#This Row],[Столбец4]]="отсутствует"),"",INDEX(Лист2!$A$8:$O$179,MATCH(A30,Лист2!$B$8:$B$179,0),11))</f>
        <v/>
      </c>
      <c r="K30" s="147" t="str">
        <f>IF(OR(Таблица17[[#This Row],[Столбец1]]="",Таблица17[[#This Row],[Столбец4]]="отсутствует"),"",INDEX(Лист2!$A$8:$O$179,MATCH(A30,Лист2!$B$8:$B$179,0),12))</f>
        <v/>
      </c>
      <c r="L30" s="147" t="str">
        <f>IF(OR(Таблица17[[#This Row],[Столбец1]]="",Таблица17[[#This Row],[Столбец4]]="отсутствует"),"",INDEX(Лист2!$A$8:$O$179,MATCH(A30,Лист2!$B$8:$B$179,0),13))</f>
        <v/>
      </c>
      <c r="M30" s="147" t="str">
        <f>IF(OR(Таблица17[[#This Row],[Столбец1]]="",Таблица17[[#This Row],[Столбец4]]="отсутствует"),"",INDEX(Лист2!$A$8:$O$179,MATCH(A30,Лист2!$B$8:$B$179,0),14))</f>
        <v/>
      </c>
      <c r="N30" s="148" t="str">
        <f>IF(Таблица17[[#This Row],[Столбец1]]="","",IF(INDEX(Лист2!$A$8:$O$179,MATCH(A30,Лист2!$B$8:$B$179,0),15)=0,"",INDEX(Лист2!$A$8:$O$179,MATCH(A30,Лист2!$B$8:$B$179,0),15)))</f>
        <v/>
      </c>
      <c r="O30" s="142"/>
    </row>
    <row r="31" spans="1:15" ht="44.25" customHeight="1" x14ac:dyDescent="0.25">
      <c r="A31" s="170" t="s">
        <v>302</v>
      </c>
      <c r="B31" s="170"/>
      <c r="C31" s="170"/>
      <c r="D31" s="170"/>
      <c r="E31" s="150">
        <f>SUBTOTAL(109,Таблица17[[#All],[Столбец5]])</f>
        <v>0</v>
      </c>
      <c r="F31" s="150">
        <f>SUBTOTAL(109,Таблица17[[#All],[Столбец6]])</f>
        <v>0</v>
      </c>
      <c r="G31" s="150">
        <f>SUM(Таблица17[[#All],[Столбец7]])</f>
        <v>0</v>
      </c>
      <c r="H31" s="151"/>
      <c r="I31" s="152"/>
      <c r="J31" s="152"/>
      <c r="K31" s="152"/>
      <c r="L31" s="152"/>
      <c r="M31" s="152"/>
      <c r="N31" s="152"/>
      <c r="O31" s="142"/>
    </row>
    <row r="32" spans="1:15" ht="15.75" x14ac:dyDescent="0.25">
      <c r="A32" s="147"/>
      <c r="B32" s="147" t="str">
        <f>IF(Таблица18[[#This Row],[Столбец1]]="","",INDEX(Лист2!$A$8:$O$179,MATCH(A32,Лист2!$B$8:$B$179,0),3))</f>
        <v/>
      </c>
      <c r="C32" s="148" t="str">
        <f>IF(Таблица18[[#This Row],[Столбец1]]="","",INDEX(Лист2!$A$8:$O$179,MATCH(A32,Лист2!$B$8:$B$179,0),4))</f>
        <v/>
      </c>
      <c r="D32" s="147" t="str">
        <f>IF(Таблица18[[#This Row],[Столбец1]]="","",INDEX(Лист2!$A$8:$O$179,MATCH(A32,Лист2!$B$8:$B$179,0),5))</f>
        <v/>
      </c>
      <c r="E32" s="149" t="str">
        <f>IF(Таблица18[[#This Row],[Столбец1]]="","",INDEX(Лист2!$A$8:$O$179,MATCH(A32,Лист2!$B$8:$B$179,0),6))</f>
        <v/>
      </c>
      <c r="F32" s="149" t="str">
        <f>IF(Таблица18[[#This Row],[Столбец1]]="","",INDEX(Лист2!$A$8:$O$179,MATCH(A32,Лист2!$B$8:$B$179,0),7))</f>
        <v/>
      </c>
      <c r="G32" s="149" t="str">
        <f>IF(Таблица18[[#This Row],[Столбец1]]="","",INDEX(Лист2!$A$8:$O$179,MATCH(A32,Лист2!$B$8:$B$179,0),8))</f>
        <v/>
      </c>
      <c r="H32" s="148" t="str">
        <f>IF(OR(Таблица18[[#This Row],[Столбец1]]="",Таблица18[[#This Row],[Столбец4]]="отсутствует"),"",INDEX(Лист2!$A$8:$O$179,MATCH(A32,Лист2!$B$8:$B$179,0),9))</f>
        <v/>
      </c>
      <c r="I32" s="147" t="str">
        <f>IF(OR(Таблица18[[#This Row],[Столбец1]]="",Таблица18[[#This Row],[Столбец4]]="отсутствует"),"",INDEX(Лист2!$A$8:$O$179,MATCH(A32,Лист2!$B$8:$B$179,0),10))</f>
        <v/>
      </c>
      <c r="J32" s="147" t="str">
        <f>IF(OR(Таблица18[[#This Row],[Столбец1]]="",Таблица18[[#This Row],[Столбец4]]="отсутствует"),"",INDEX(Лист2!$A$8:$O$179,MATCH(A32,Лист2!$B$8:$B$179,0),11))</f>
        <v/>
      </c>
      <c r="K32" s="147" t="str">
        <f>IF(OR(Таблица18[[#This Row],[Столбец1]]="",Таблица18[[#This Row],[Столбец4]]="отсутствует"),"",INDEX(Лист2!$A$8:$O$179,MATCH(A32,Лист2!$B$8:$B$179,0),12))</f>
        <v/>
      </c>
      <c r="L32" s="147" t="str">
        <f>IF(OR(Таблица18[[#This Row],[Столбец1]]="",Таблица18[[#This Row],[Столбец4]]="отсутствует"),"",INDEX(Лист2!$A$8:$O$179,MATCH(A32,Лист2!$B$8:$B$179,0),13))</f>
        <v/>
      </c>
      <c r="M32" s="147" t="str">
        <f>IF(OR(Таблица18[[#This Row],[Столбец1]]="",Таблица18[[#This Row],[Столбец4]]="отсутствует"),"",INDEX(Лист2!$A$8:$O$179,MATCH(A32,Лист2!$B$8:$B$179,0),14))</f>
        <v/>
      </c>
      <c r="N32" s="148" t="str">
        <f>IF(Таблица18[[#This Row],[Столбец1]]="","",IF(INDEX(Лист2!$A$8:$O$179,MATCH(A32,Лист2!$B$8:$B$179,0),15)=0,"",INDEX(Лист2!$A$8:$O$179,MATCH(A32,Лист2!$B$8:$B$179,0),15)))</f>
        <v/>
      </c>
      <c r="O32" s="142"/>
    </row>
    <row r="33" spans="1:15" ht="15.75" x14ac:dyDescent="0.25">
      <c r="A33" s="147"/>
      <c r="B33" s="147" t="str">
        <f>IF(Таблица18[[#This Row],[Столбец1]]="","",INDEX(Лист2!$A$8:$O$179,MATCH(A33,Лист2!$B$8:$B$179,0),3))</f>
        <v/>
      </c>
      <c r="C33" s="148" t="str">
        <f>IF(Таблица18[[#This Row],[Столбец1]]="","",INDEX(Лист2!$A$8:$O$179,MATCH(A33,Лист2!$B$8:$B$179,0),4))</f>
        <v/>
      </c>
      <c r="D33" s="147" t="str">
        <f>IF(Таблица18[[#This Row],[Столбец1]]="","",INDEX(Лист2!$A$8:$O$179,MATCH(A33,Лист2!$B$8:$B$179,0),5))</f>
        <v/>
      </c>
      <c r="E33" s="149" t="str">
        <f>IF(Таблица18[[#This Row],[Столбец1]]="","",INDEX(Лист2!$A$8:$O$179,MATCH(A33,Лист2!$B$8:$B$179,0),6))</f>
        <v/>
      </c>
      <c r="F33" s="149" t="str">
        <f>IF(Таблица18[[#This Row],[Столбец1]]="","",INDEX(Лист2!$A$8:$O$179,MATCH(A33,Лист2!$B$8:$B$179,0),7))</f>
        <v/>
      </c>
      <c r="G33" s="149" t="str">
        <f>IF(Таблица18[[#This Row],[Столбец1]]="","",INDEX(Лист2!$A$8:$O$179,MATCH(A33,Лист2!$B$8:$B$179,0),8))</f>
        <v/>
      </c>
      <c r="H33" s="148" t="str">
        <f>IF(OR(Таблица18[[#This Row],[Столбец1]]="",Таблица18[[#This Row],[Столбец4]]="отсутствует"),"",INDEX(Лист2!$A$8:$O$179,MATCH(A33,Лист2!$B$8:$B$179,0),9))</f>
        <v/>
      </c>
      <c r="I33" s="147" t="str">
        <f>IF(OR(Таблица18[[#This Row],[Столбец1]]="",Таблица18[[#This Row],[Столбец4]]="отсутствует"),"",INDEX(Лист2!$A$8:$O$179,MATCH(A33,Лист2!$B$8:$B$179,0),10))</f>
        <v/>
      </c>
      <c r="J33" s="147" t="str">
        <f>IF(OR(Таблица18[[#This Row],[Столбец1]]="",Таблица18[[#This Row],[Столбец4]]="отсутствует"),"",INDEX(Лист2!$A$8:$O$179,MATCH(A33,Лист2!$B$8:$B$179,0),11))</f>
        <v/>
      </c>
      <c r="K33" s="147" t="str">
        <f>IF(OR(Таблица18[[#This Row],[Столбец1]]="",Таблица18[[#This Row],[Столбец4]]="отсутствует"),"",INDEX(Лист2!$A$8:$O$179,MATCH(A33,Лист2!$B$8:$B$179,0),12))</f>
        <v/>
      </c>
      <c r="L33" s="147" t="str">
        <f>IF(OR(Таблица18[[#This Row],[Столбец1]]="",Таблица18[[#This Row],[Столбец4]]="отсутствует"),"",INDEX(Лист2!$A$8:$O$179,MATCH(A33,Лист2!$B$8:$B$179,0),13))</f>
        <v/>
      </c>
      <c r="M33" s="147" t="str">
        <f>IF(OR(Таблица18[[#This Row],[Столбец1]]="",Таблица18[[#This Row],[Столбец4]]="отсутствует"),"",INDEX(Лист2!$A$8:$O$179,MATCH(A33,Лист2!$B$8:$B$179,0),14))</f>
        <v/>
      </c>
      <c r="N33" s="148" t="str">
        <f>IF(Таблица18[[#This Row],[Столбец1]]="","",IF(INDEX(Лист2!$A$8:$O$179,MATCH(A33,Лист2!$B$8:$B$179,0),15)=0,"",INDEX(Лист2!$A$8:$O$179,MATCH(A33,Лист2!$B$8:$B$179,0),15)))</f>
        <v/>
      </c>
      <c r="O33" s="142"/>
    </row>
    <row r="34" spans="1:15" ht="15.75" x14ac:dyDescent="0.25">
      <c r="A34" s="147"/>
      <c r="B34" s="147" t="str">
        <f>IF(Таблица18[[#This Row],[Столбец1]]="","",INDEX(Лист2!$A$8:$O$179,MATCH(A34,Лист2!$B$8:$B$179,0),3))</f>
        <v/>
      </c>
      <c r="C34" s="148" t="str">
        <f>IF(Таблица18[[#This Row],[Столбец1]]="","",INDEX(Лист2!$A$8:$O$179,MATCH(A34,Лист2!$B$8:$B$179,0),4))</f>
        <v/>
      </c>
      <c r="D34" s="147" t="str">
        <f>IF(Таблица18[[#This Row],[Столбец1]]="","",INDEX(Лист2!$A$8:$O$179,MATCH(A34,Лист2!$B$8:$B$179,0),5))</f>
        <v/>
      </c>
      <c r="E34" s="149" t="str">
        <f>IF(Таблица18[[#This Row],[Столбец1]]="","",INDEX(Лист2!$A$8:$O$179,MATCH(A34,Лист2!$B$8:$B$179,0),6))</f>
        <v/>
      </c>
      <c r="F34" s="149" t="str">
        <f>IF(Таблица18[[#This Row],[Столбец1]]="","",INDEX(Лист2!$A$8:$O$179,MATCH(A34,Лист2!$B$8:$B$179,0),7))</f>
        <v/>
      </c>
      <c r="G34" s="149" t="str">
        <f>IF(Таблица18[[#This Row],[Столбец1]]="","",INDEX(Лист2!$A$8:$O$179,MATCH(A34,Лист2!$B$8:$B$179,0),8))</f>
        <v/>
      </c>
      <c r="H34" s="148" t="str">
        <f>IF(OR(Таблица18[[#This Row],[Столбец1]]="",Таблица18[[#This Row],[Столбец4]]="отсутствует"),"",INDEX(Лист2!$A$8:$O$179,MATCH(A34,Лист2!$B$8:$B$179,0),9))</f>
        <v/>
      </c>
      <c r="I34" s="147" t="str">
        <f>IF(OR(Таблица18[[#This Row],[Столбец1]]="",Таблица18[[#This Row],[Столбец4]]="отсутствует"),"",INDEX(Лист2!$A$8:$O$179,MATCH(A34,Лист2!$B$8:$B$179,0),10))</f>
        <v/>
      </c>
      <c r="J34" s="147" t="str">
        <f>IF(OR(Таблица18[[#This Row],[Столбец1]]="",Таблица18[[#This Row],[Столбец4]]="отсутствует"),"",INDEX(Лист2!$A$8:$O$179,MATCH(A34,Лист2!$B$8:$B$179,0),11))</f>
        <v/>
      </c>
      <c r="K34" s="147" t="str">
        <f>IF(OR(Таблица18[[#This Row],[Столбец1]]="",Таблица18[[#This Row],[Столбец4]]="отсутствует"),"",INDEX(Лист2!$A$8:$O$179,MATCH(A34,Лист2!$B$8:$B$179,0),12))</f>
        <v/>
      </c>
      <c r="L34" s="147" t="str">
        <f>IF(OR(Таблица18[[#This Row],[Столбец1]]="",Таблица18[[#This Row],[Столбец4]]="отсутствует"),"",INDEX(Лист2!$A$8:$O$179,MATCH(A34,Лист2!$B$8:$B$179,0),13))</f>
        <v/>
      </c>
      <c r="M34" s="147" t="str">
        <f>IF(OR(Таблица18[[#This Row],[Столбец1]]="",Таблица18[[#This Row],[Столбец4]]="отсутствует"),"",INDEX(Лист2!$A$8:$O$179,MATCH(A34,Лист2!$B$8:$B$179,0),14))</f>
        <v/>
      </c>
      <c r="N34" s="148" t="str">
        <f>IF(Таблица18[[#This Row],[Столбец1]]="","",IF(INDEX(Лист2!$A$8:$O$179,MATCH(A34,Лист2!$B$8:$B$179,0),15)=0,"",INDEX(Лист2!$A$8:$O$179,MATCH(A34,Лист2!$B$8:$B$179,0),15)))</f>
        <v/>
      </c>
      <c r="O34" s="142"/>
    </row>
    <row r="35" spans="1:15" ht="15.75" x14ac:dyDescent="0.25">
      <c r="A35" s="147"/>
      <c r="B35" s="147" t="str">
        <f>IF(Таблица18[[#This Row],[Столбец1]]="","",INDEX(Лист2!$A$8:$O$179,MATCH(A35,Лист2!$B$8:$B$179,0),3))</f>
        <v/>
      </c>
      <c r="C35" s="148" t="str">
        <f>IF(Таблица18[[#This Row],[Столбец1]]="","",INDEX(Лист2!$A$8:$O$179,MATCH(A35,Лист2!$B$8:$B$179,0),4))</f>
        <v/>
      </c>
      <c r="D35" s="147" t="str">
        <f>IF(Таблица18[[#This Row],[Столбец1]]="","",INDEX(Лист2!$A$8:$O$179,MATCH(A35,Лист2!$B$8:$B$179,0),5))</f>
        <v/>
      </c>
      <c r="E35" s="149" t="str">
        <f>IF(Таблица18[[#This Row],[Столбец1]]="","",INDEX(Лист2!$A$8:$O$179,MATCH(A35,Лист2!$B$8:$B$179,0),6))</f>
        <v/>
      </c>
      <c r="F35" s="149" t="str">
        <f>IF(Таблица18[[#This Row],[Столбец1]]="","",INDEX(Лист2!$A$8:$O$179,MATCH(A35,Лист2!$B$8:$B$179,0),7))</f>
        <v/>
      </c>
      <c r="G35" s="149" t="str">
        <f>IF(Таблица18[[#This Row],[Столбец1]]="","",INDEX(Лист2!$A$8:$O$179,MATCH(A35,Лист2!$B$8:$B$179,0),8))</f>
        <v/>
      </c>
      <c r="H35" s="148" t="str">
        <f>IF(OR(Таблица18[[#This Row],[Столбец1]]="",Таблица18[[#This Row],[Столбец4]]="отсутствует"),"",INDEX(Лист2!$A$8:$O$179,MATCH(A35,Лист2!$B$8:$B$179,0),9))</f>
        <v/>
      </c>
      <c r="I35" s="147" t="str">
        <f>IF(OR(Таблица18[[#This Row],[Столбец1]]="",Таблица18[[#This Row],[Столбец4]]="отсутствует"),"",INDEX(Лист2!$A$8:$O$179,MATCH(A35,Лист2!$B$8:$B$179,0),10))</f>
        <v/>
      </c>
      <c r="J35" s="147" t="str">
        <f>IF(OR(Таблица18[[#This Row],[Столбец1]]="",Таблица18[[#This Row],[Столбец4]]="отсутствует"),"",INDEX(Лист2!$A$8:$O$179,MATCH(A35,Лист2!$B$8:$B$179,0),11))</f>
        <v/>
      </c>
      <c r="K35" s="147" t="str">
        <f>IF(OR(Таблица18[[#This Row],[Столбец1]]="",Таблица18[[#This Row],[Столбец4]]="отсутствует"),"",INDEX(Лист2!$A$8:$O$179,MATCH(A35,Лист2!$B$8:$B$179,0),12))</f>
        <v/>
      </c>
      <c r="L35" s="147" t="str">
        <f>IF(OR(Таблица18[[#This Row],[Столбец1]]="",Таблица18[[#This Row],[Столбец4]]="отсутствует"),"",INDEX(Лист2!$A$8:$O$179,MATCH(A35,Лист2!$B$8:$B$179,0),13))</f>
        <v/>
      </c>
      <c r="M35" s="147" t="str">
        <f>IF(OR(Таблица18[[#This Row],[Столбец1]]="",Таблица18[[#This Row],[Столбец4]]="отсутствует"),"",INDEX(Лист2!$A$8:$O$179,MATCH(A35,Лист2!$B$8:$B$179,0),14))</f>
        <v/>
      </c>
      <c r="N35" s="148" t="str">
        <f>IF(Таблица18[[#This Row],[Столбец1]]="","",IF(INDEX(Лист2!$A$8:$O$179,MATCH(A35,Лист2!$B$8:$B$179,0),15)=0,"",INDEX(Лист2!$A$8:$O$179,MATCH(A35,Лист2!$B$8:$B$179,0),15)))</f>
        <v/>
      </c>
      <c r="O35" s="142"/>
    </row>
    <row r="36" spans="1:15" ht="18" customHeight="1" x14ac:dyDescent="0.25">
      <c r="A36" s="147"/>
      <c r="B36" s="147" t="str">
        <f>IF(Таблица18[[#This Row],[Столбец1]]="","",INDEX(Лист2!$A$8:$O$179,MATCH(A36,Лист2!$B$8:$B$179,0),3))</f>
        <v/>
      </c>
      <c r="C36" s="148" t="str">
        <f>IF(Таблица18[[#This Row],[Столбец1]]="","",INDEX(Лист2!$A$8:$O$179,MATCH(A36,Лист2!$B$8:$B$179,0),4))</f>
        <v/>
      </c>
      <c r="D36" s="147" t="str">
        <f>IF(Таблица18[[#This Row],[Столбец1]]="","",INDEX(Лист2!$A$8:$O$179,MATCH(A36,Лист2!$B$8:$B$179,0),5))</f>
        <v/>
      </c>
      <c r="E36" s="149" t="str">
        <f>IF(Таблица18[[#This Row],[Столбец1]]="","",INDEX(Лист2!$A$8:$O$179,MATCH(A36,Лист2!$B$8:$B$179,0),6))</f>
        <v/>
      </c>
      <c r="F36" s="149" t="str">
        <f>IF(Таблица18[[#This Row],[Столбец1]]="","",INDEX(Лист2!$A$8:$O$179,MATCH(A36,Лист2!$B$8:$B$179,0),7))</f>
        <v/>
      </c>
      <c r="G36" s="149" t="str">
        <f>IF(Таблица18[[#This Row],[Столбец1]]="","",INDEX(Лист2!$A$8:$O$179,MATCH(A36,Лист2!$B$8:$B$179,0),8))</f>
        <v/>
      </c>
      <c r="H36" s="148" t="str">
        <f>IF(OR(Таблица18[[#This Row],[Столбец1]]="",Таблица18[[#This Row],[Столбец4]]="отсутствует"),"",INDEX(Лист2!$A$8:$O$179,MATCH(A36,Лист2!$B$8:$B$179,0),9))</f>
        <v/>
      </c>
      <c r="I36" s="147" t="str">
        <f>IF(OR(Таблица18[[#This Row],[Столбец1]]="",Таблица18[[#This Row],[Столбец4]]="отсутствует"),"",INDEX(Лист2!$A$8:$O$179,MATCH(A36,Лист2!$B$8:$B$179,0),10))</f>
        <v/>
      </c>
      <c r="J36" s="147" t="str">
        <f>IF(OR(Таблица18[[#This Row],[Столбец1]]="",Таблица18[[#This Row],[Столбец4]]="отсутствует"),"",INDEX(Лист2!$A$8:$O$179,MATCH(A36,Лист2!$B$8:$B$179,0),11))</f>
        <v/>
      </c>
      <c r="K36" s="147" t="str">
        <f>IF(OR(Таблица18[[#This Row],[Столбец1]]="",Таблица18[[#This Row],[Столбец4]]="отсутствует"),"",INDEX(Лист2!$A$8:$O$179,MATCH(A36,Лист2!$B$8:$B$179,0),12))</f>
        <v/>
      </c>
      <c r="L36" s="147" t="str">
        <f>IF(OR(Таблица18[[#This Row],[Столбец1]]="",Таблица18[[#This Row],[Столбец4]]="отсутствует"),"",INDEX(Лист2!$A$8:$O$179,MATCH(A36,Лист2!$B$8:$B$179,0),13))</f>
        <v/>
      </c>
      <c r="M36" s="147" t="str">
        <f>IF(OR(Таблица18[[#This Row],[Столбец1]]="",Таблица18[[#This Row],[Столбец4]]="отсутствует"),"",INDEX(Лист2!$A$8:$O$179,MATCH(A36,Лист2!$B$8:$B$179,0),14))</f>
        <v/>
      </c>
      <c r="N36" s="148" t="str">
        <f>IF(Таблица18[[#This Row],[Столбец1]]="","",IF(INDEX(Лист2!$A$8:$O$179,MATCH(A36,Лист2!$B$8:$B$179,0),15)=0,"",INDEX(Лист2!$A$8:$O$179,MATCH(A36,Лист2!$B$8:$B$179,0),15)))</f>
        <v/>
      </c>
      <c r="O36" s="142"/>
    </row>
    <row r="37" spans="1:15" ht="15.75" x14ac:dyDescent="0.25">
      <c r="A37" s="147"/>
      <c r="B37" s="147" t="str">
        <f>IF(Таблица18[[#This Row],[Столбец1]]="","",INDEX(Лист2!$A$8:$O$179,MATCH(A37,Лист2!$B$8:$B$179,0),3))</f>
        <v/>
      </c>
      <c r="C37" s="148" t="str">
        <f>IF(Таблица18[[#This Row],[Столбец1]]="","",INDEX(Лист2!$A$8:$O$179,MATCH(A37,Лист2!$B$8:$B$179,0),4))</f>
        <v/>
      </c>
      <c r="D37" s="147" t="str">
        <f>IF(Таблица18[[#This Row],[Столбец1]]="","",INDEX(Лист2!$A$8:$O$179,MATCH(A37,Лист2!$B$8:$B$179,0),5))</f>
        <v/>
      </c>
      <c r="E37" s="149" t="str">
        <f>IF(Таблица18[[#This Row],[Столбец1]]="","",INDEX(Лист2!$A$8:$O$179,MATCH(A37,Лист2!$B$8:$B$179,0),6))</f>
        <v/>
      </c>
      <c r="F37" s="149" t="str">
        <f>IF(Таблица18[[#This Row],[Столбец1]]="","",INDEX(Лист2!$A$8:$O$179,MATCH(A37,Лист2!$B$8:$B$179,0),7))</f>
        <v/>
      </c>
      <c r="G37" s="149" t="str">
        <f>IF(Таблица18[[#This Row],[Столбец1]]="","",INDEX(Лист2!$A$8:$O$179,MATCH(A37,Лист2!$B$8:$B$179,0),8))</f>
        <v/>
      </c>
      <c r="H37" s="148" t="str">
        <f>IF(OR(Таблица18[[#This Row],[Столбец1]]="",Таблица18[[#This Row],[Столбец4]]="отсутствует"),"",INDEX(Лист2!$A$8:$O$179,MATCH(A37,Лист2!$B$8:$B$179,0),9))</f>
        <v/>
      </c>
      <c r="I37" s="147" t="str">
        <f>IF(OR(Таблица18[[#This Row],[Столбец1]]="",Таблица18[[#This Row],[Столбец4]]="отсутствует"),"",INDEX(Лист2!$A$8:$O$179,MATCH(A37,Лист2!$B$8:$B$179,0),10))</f>
        <v/>
      </c>
      <c r="J37" s="147" t="str">
        <f>IF(OR(Таблица18[[#This Row],[Столбец1]]="",Таблица18[[#This Row],[Столбец4]]="отсутствует"),"",INDEX(Лист2!$A$8:$O$179,MATCH(A37,Лист2!$B$8:$B$179,0),11))</f>
        <v/>
      </c>
      <c r="K37" s="147" t="str">
        <f>IF(OR(Таблица18[[#This Row],[Столбец1]]="",Таблица18[[#This Row],[Столбец4]]="отсутствует"),"",INDEX(Лист2!$A$8:$O$179,MATCH(A37,Лист2!$B$8:$B$179,0),12))</f>
        <v/>
      </c>
      <c r="L37" s="147" t="str">
        <f>IF(OR(Таблица18[[#This Row],[Столбец1]]="",Таблица18[[#This Row],[Столбец4]]="отсутствует"),"",INDEX(Лист2!$A$8:$O$179,MATCH(A37,Лист2!$B$8:$B$179,0),13))</f>
        <v/>
      </c>
      <c r="M37" s="147" t="str">
        <f>IF(OR(Таблица18[[#This Row],[Столбец1]]="",Таблица18[[#This Row],[Столбец4]]="отсутствует"),"",INDEX(Лист2!$A$8:$O$179,MATCH(A37,Лист2!$B$8:$B$179,0),14))</f>
        <v/>
      </c>
      <c r="N37" s="148" t="str">
        <f>IF(Таблица18[[#This Row],[Столбец1]]="","",IF(INDEX(Лист2!$A$8:$O$179,MATCH(A37,Лист2!$B$8:$B$179,0),15)=0,"",INDEX(Лист2!$A$8:$O$179,MATCH(A37,Лист2!$B$8:$B$179,0),15)))</f>
        <v/>
      </c>
      <c r="O37" s="142"/>
    </row>
    <row r="38" spans="1:15" ht="15.75" x14ac:dyDescent="0.25">
      <c r="A38" s="147"/>
      <c r="B38" s="147" t="str">
        <f>IF(Таблица18[[#This Row],[Столбец1]]="","",INDEX(Лист2!$A$8:$O$179,MATCH(A38,Лист2!$B$8:$B$179,0),3))</f>
        <v/>
      </c>
      <c r="C38" s="148" t="str">
        <f>IF(Таблица18[[#This Row],[Столбец1]]="","",INDEX(Лист2!$A$8:$O$179,MATCH(A38,Лист2!$B$8:$B$179,0),4))</f>
        <v/>
      </c>
      <c r="D38" s="147" t="str">
        <f>IF(Таблица18[[#This Row],[Столбец1]]="","",INDEX(Лист2!$A$8:$O$179,MATCH(A38,Лист2!$B$8:$B$179,0),5))</f>
        <v/>
      </c>
      <c r="E38" s="149" t="str">
        <f>IF(Таблица18[[#This Row],[Столбец1]]="","",INDEX(Лист2!$A$8:$O$179,MATCH(A38,Лист2!$B$8:$B$179,0),6))</f>
        <v/>
      </c>
      <c r="F38" s="149" t="str">
        <f>IF(Таблица18[[#This Row],[Столбец1]]="","",INDEX(Лист2!$A$8:$O$179,MATCH(A38,Лист2!$B$8:$B$179,0),7))</f>
        <v/>
      </c>
      <c r="G38" s="149" t="str">
        <f>IF(Таблица18[[#This Row],[Столбец1]]="","",INDEX(Лист2!$A$8:$O$179,MATCH(A38,Лист2!$B$8:$B$179,0),8))</f>
        <v/>
      </c>
      <c r="H38" s="148" t="str">
        <f>IF(OR(Таблица18[[#This Row],[Столбец1]]="",Таблица18[[#This Row],[Столбец4]]="отсутствует"),"",INDEX(Лист2!$A$8:$O$179,MATCH(A38,Лист2!$B$8:$B$179,0),9))</f>
        <v/>
      </c>
      <c r="I38" s="147" t="str">
        <f>IF(OR(Таблица18[[#This Row],[Столбец1]]="",Таблица18[[#This Row],[Столбец4]]="отсутствует"),"",INDEX(Лист2!$A$8:$O$179,MATCH(A38,Лист2!$B$8:$B$179,0),10))</f>
        <v/>
      </c>
      <c r="J38" s="147" t="str">
        <f>IF(OR(Таблица18[[#This Row],[Столбец1]]="",Таблица18[[#This Row],[Столбец4]]="отсутствует"),"",INDEX(Лист2!$A$8:$O$179,MATCH(A38,Лист2!$B$8:$B$179,0),11))</f>
        <v/>
      </c>
      <c r="K38" s="147" t="str">
        <f>IF(OR(Таблица18[[#This Row],[Столбец1]]="",Таблица18[[#This Row],[Столбец4]]="отсутствует"),"",INDEX(Лист2!$A$8:$O$179,MATCH(A38,Лист2!$B$8:$B$179,0),12))</f>
        <v/>
      </c>
      <c r="L38" s="147" t="str">
        <f>IF(OR(Таблица18[[#This Row],[Столбец1]]="",Таблица18[[#This Row],[Столбец4]]="отсутствует"),"",INDEX(Лист2!$A$8:$O$179,MATCH(A38,Лист2!$B$8:$B$179,0),13))</f>
        <v/>
      </c>
      <c r="M38" s="147" t="str">
        <f>IF(OR(Таблица18[[#This Row],[Столбец1]]="",Таблица18[[#This Row],[Столбец4]]="отсутствует"),"",INDEX(Лист2!$A$8:$O$179,MATCH(A38,Лист2!$B$8:$B$179,0),14))</f>
        <v/>
      </c>
      <c r="N38" s="148" t="str">
        <f>IF(Таблица18[[#This Row],[Столбец1]]="","",IF(INDEX(Лист2!$A$8:$O$179,MATCH(A38,Лист2!$B$8:$B$179,0),15)=0,"",INDEX(Лист2!$A$8:$O$179,MATCH(A38,Лист2!$B$8:$B$179,0),15)))</f>
        <v/>
      </c>
      <c r="O38" s="142"/>
    </row>
    <row r="39" spans="1:15" ht="15.75" x14ac:dyDescent="0.25">
      <c r="A39" s="170" t="s">
        <v>303</v>
      </c>
      <c r="B39" s="170"/>
      <c r="C39" s="170"/>
      <c r="D39" s="170"/>
      <c r="E39" s="150">
        <f>SUBTOTAL(109,Таблица18[[#All],[Столбец5]])</f>
        <v>0</v>
      </c>
      <c r="F39" s="150">
        <f>SUBTOTAL(109,Таблица18[[#All],[Столбец6]])</f>
        <v>0</v>
      </c>
      <c r="G39" s="150">
        <f>SUBTOTAL(109,Таблица18[[#All],[Столбец7]])</f>
        <v>0</v>
      </c>
      <c r="H39" s="151"/>
      <c r="I39" s="152"/>
      <c r="J39" s="152"/>
      <c r="K39" s="152"/>
      <c r="L39" s="152"/>
      <c r="M39" s="152"/>
      <c r="N39" s="152"/>
      <c r="O39" s="142"/>
    </row>
    <row r="40" spans="1:15" ht="98.25" customHeight="1" x14ac:dyDescent="0.25">
      <c r="A40" s="147" t="s">
        <v>424</v>
      </c>
      <c r="B40" s="147" t="str">
        <f>IF(Таблица1821[[#This Row],[Столбец1]]="","",INDEX(Лист2!$A$8:$O$179,MATCH(A40,Лист2!$B$8:$B$179,0),3))</f>
        <v>Эксплуатация</v>
      </c>
      <c r="C40" s="148" t="str">
        <f>IF(Таблица1821[[#This Row],[Столбец1]]="","",INDEX(Лист2!$A$8:$O$179,MATCH(A40,Лист2!$B$8:$B$179,0),4))</f>
        <v>Государственная информационная система "Архивы Оренбургской области"</v>
      </c>
      <c r="D40" s="147" t="str">
        <f>IF(Таблица1821[[#This Row],[Столбец1]]="","",INDEX(Лист2!$A$8:$O$179,MATCH(A40,Лист2!$B$8:$B$179,0),5))</f>
        <v>отсутствует</v>
      </c>
      <c r="E40" s="149">
        <f>IF(Таблица1821[[#This Row],[Столбец1]]="","",INDEX(Лист2!$A$8:$O$179,MATCH(A40,Лист2!$B$8:$B$179,0),6))</f>
        <v>0</v>
      </c>
      <c r="F40" s="149">
        <f>IF(Таблица1821[[#This Row],[Столбец1]]="","",INDEX(Лист2!$A$8:$O$179,MATCH(A40,Лист2!$B$8:$B$179,0),7))</f>
        <v>600</v>
      </c>
      <c r="G40" s="149">
        <f>IF(Таблица1821[[#This Row],[Столбец1]]="","",INDEX(Лист2!$A$8:$O$179,MATCH(A40,Лист2!$B$8:$B$179,0),8))</f>
        <v>600</v>
      </c>
      <c r="H40" s="148" t="str">
        <f>IF(OR(Таблица1821[[#This Row],[Столбец1]]="",Таблица1821[[#This Row],[Столбец4]]="отсутствует"),"",INDEX(Лист2!$A$8:$O$179,MATCH(A40,Лист2!$B$8:$B$179,0),9))</f>
        <v/>
      </c>
      <c r="I40" s="147" t="str">
        <f>IF(OR(Таблица1821[[#This Row],[Столбец1]]="",Таблица1821[[#This Row],[Столбец4]]="отсутствует"),"",INDEX(Лист2!$A$8:$O$179,MATCH(A40,Лист2!$B$8:$B$179,0),10))</f>
        <v/>
      </c>
      <c r="J40" s="147" t="str">
        <f>IF(OR(Таблица1821[[#This Row],[Столбец1]]="",Таблица1821[[#This Row],[Столбец4]]="отсутствует"),"",INDEX(Лист2!$A$8:$O$179,MATCH(A40,Лист2!$B$8:$B$179,0),11))</f>
        <v/>
      </c>
      <c r="K40" s="147" t="str">
        <f>IF(OR(Таблица1821[[#This Row],[Столбец1]]="",Таблица1821[[#This Row],[Столбец4]]="отсутствует"),"",INDEX(Лист2!$A$8:$O$179,MATCH(A40,Лист2!$B$8:$B$179,0),12))</f>
        <v/>
      </c>
      <c r="L40" s="147" t="str">
        <f>IF(OR(Таблица1821[[#This Row],[Столбец1]]="",Таблица1821[[#This Row],[Столбец4]]="отсутствует"),"",INDEX(Лист2!$A$8:$O$179,MATCH(A40,Лист2!$B$8:$B$179,0),13))</f>
        <v/>
      </c>
      <c r="M40" s="147" t="str">
        <f>IF(OR(Таблица1821[[#This Row],[Столбец1]]="",Таблица1821[[#This Row],[Столбец4]]="отсутствует"),"",INDEX(Лист2!$A$8:$O$179,MATCH(A40,Лист2!$B$8:$B$179,0),14))</f>
        <v/>
      </c>
      <c r="N40" s="148" t="str">
        <f>IF(Таблица1821[[#This Row],[Столбец1]]="","",IF(INDEX(Лист2!$A$8:$O$179,MATCH(A40,Лист2!$B$8:$B$179,0),15)=0,"",INDEX(Лист2!$A$8:$O$179,MATCH(A40,Лист2!$B$8:$B$179,0),15)))</f>
        <v>Постановление Правительства Оренбургской области от 29.12.2018 № 915-пп «Об утверждении государственной программы «Развитие культуры Оренбургской области» на 2019–2024 годы»"; основное мероприятие 1.4 "Развитие архивного дела"</v>
      </c>
      <c r="O40" s="142"/>
    </row>
    <row r="41" spans="1:15" ht="15.75" x14ac:dyDescent="0.25">
      <c r="A41" s="147"/>
      <c r="B41" s="147" t="str">
        <f>IF(Таблица1821[[#This Row],[Столбец1]]="","",INDEX(Лист2!$A$8:$O$179,MATCH(A41,Лист2!$B$8:$B$179,0),3))</f>
        <v/>
      </c>
      <c r="C41" s="148" t="str">
        <f>IF(Таблица1821[[#This Row],[Столбец1]]="","",INDEX(Лист2!$A$8:$O$179,MATCH(A41,Лист2!$B$8:$B$179,0),4))</f>
        <v/>
      </c>
      <c r="D41" s="147" t="str">
        <f>IF(Таблица1821[[#This Row],[Столбец1]]="","",INDEX(Лист2!$A$8:$O$179,MATCH(A41,Лист2!$B$8:$B$179,0),5))</f>
        <v/>
      </c>
      <c r="E41" s="149" t="str">
        <f>IF(Таблица1821[[#This Row],[Столбец1]]="","",INDEX(Лист2!$A$8:$O$179,MATCH(A41,Лист2!$B$8:$B$179,0),6))</f>
        <v/>
      </c>
      <c r="F41" s="149" t="str">
        <f>IF(Таблица1821[[#This Row],[Столбец1]]="","",INDEX(Лист2!$A$8:$O$179,MATCH(A41,Лист2!$B$8:$B$179,0),7))</f>
        <v/>
      </c>
      <c r="G41" s="149" t="str">
        <f>IF(Таблица1821[[#This Row],[Столбец1]]="","",INDEX(Лист2!$A$8:$O$179,MATCH(A41,Лист2!$B$8:$B$179,0),8))</f>
        <v/>
      </c>
      <c r="H41" s="148" t="str">
        <f>IF(OR(Таблица1821[[#This Row],[Столбец1]]="",Таблица1821[[#This Row],[Столбец4]]="отсутствует"),"",INDEX(Лист2!$A$8:$O$179,MATCH(A41,Лист2!$B$8:$B$179,0),9))</f>
        <v/>
      </c>
      <c r="I41" s="147" t="str">
        <f>IF(OR(Таблица1821[[#This Row],[Столбец1]]="",Таблица1821[[#This Row],[Столбец4]]="отсутствует"),"",INDEX(Лист2!$A$8:$O$179,MATCH(A41,Лист2!$B$8:$B$179,0),10))</f>
        <v/>
      </c>
      <c r="J41" s="147" t="str">
        <f>IF(OR(Таблица1821[[#This Row],[Столбец1]]="",Таблица1821[[#This Row],[Столбец4]]="отсутствует"),"",INDEX(Лист2!$A$8:$O$179,MATCH(A41,Лист2!$B$8:$B$179,0),11))</f>
        <v/>
      </c>
      <c r="K41" s="147" t="str">
        <f>IF(OR(Таблица1821[[#This Row],[Столбец1]]="",Таблица1821[[#This Row],[Столбец4]]="отсутствует"),"",INDEX(Лист2!$A$8:$O$179,MATCH(A41,Лист2!$B$8:$B$179,0),12))</f>
        <v/>
      </c>
      <c r="L41" s="147" t="str">
        <f>IF(OR(Таблица1821[[#This Row],[Столбец1]]="",Таблица1821[[#This Row],[Столбец4]]="отсутствует"),"",INDEX(Лист2!$A$8:$O$179,MATCH(A41,Лист2!$B$8:$B$179,0),13))</f>
        <v/>
      </c>
      <c r="M41" s="147" t="str">
        <f>IF(OR(Таблица1821[[#This Row],[Столбец1]]="",Таблица1821[[#This Row],[Столбец4]]="отсутствует"),"",INDEX(Лист2!$A$8:$O$179,MATCH(A41,Лист2!$B$8:$B$179,0),14))</f>
        <v/>
      </c>
      <c r="N41" s="148" t="str">
        <f>IF(Таблица1821[[#This Row],[Столбец1]]="","",IF(INDEX(Лист2!$A$8:$O$179,MATCH(A41,Лист2!$B$8:$B$179,0),15)=0,"",INDEX(Лист2!$A$8:$O$179,MATCH(A41,Лист2!$B$8:$B$179,0),15)))</f>
        <v/>
      </c>
      <c r="O41" s="142"/>
    </row>
    <row r="42" spans="1:15" ht="15.75" x14ac:dyDescent="0.25">
      <c r="A42" s="147"/>
      <c r="B42" s="147" t="str">
        <f>IF(Таблица1821[[#This Row],[Столбец1]]="","",INDEX(Лист2!$A$8:$O$179,MATCH(A42,Лист2!$B$8:$B$179,0),3))</f>
        <v/>
      </c>
      <c r="C42" s="148" t="str">
        <f>IF(Таблица1821[[#This Row],[Столбец1]]="","",INDEX(Лист2!$A$8:$O$179,MATCH(A42,Лист2!$B$8:$B$179,0),4))</f>
        <v/>
      </c>
      <c r="D42" s="147" t="str">
        <f>IF(Таблица1821[[#This Row],[Столбец1]]="","",INDEX(Лист2!$A$8:$O$179,MATCH(A42,Лист2!$B$8:$B$179,0),5))</f>
        <v/>
      </c>
      <c r="E42" s="149" t="str">
        <f>IF(Таблица1821[[#This Row],[Столбец1]]="","",INDEX(Лист2!$A$8:$O$179,MATCH(A42,Лист2!$B$8:$B$179,0),6))</f>
        <v/>
      </c>
      <c r="F42" s="149" t="str">
        <f>IF(Таблица1821[[#This Row],[Столбец1]]="","",INDEX(Лист2!$A$8:$O$179,MATCH(A42,Лист2!$B$8:$B$179,0),7))</f>
        <v/>
      </c>
      <c r="G42" s="149" t="str">
        <f>IF(Таблица1821[[#This Row],[Столбец1]]="","",INDEX(Лист2!$A$8:$O$179,MATCH(A42,Лист2!$B$8:$B$179,0),8))</f>
        <v/>
      </c>
      <c r="H42" s="148" t="str">
        <f>IF(OR(Таблица1821[[#This Row],[Столбец1]]="",Таблица1821[[#This Row],[Столбец4]]="отсутствует"),"",INDEX(Лист2!$A$8:$O$179,MATCH(A42,Лист2!$B$8:$B$179,0),9))</f>
        <v/>
      </c>
      <c r="I42" s="147" t="str">
        <f>IF(OR(Таблица1821[[#This Row],[Столбец1]]="",Таблица1821[[#This Row],[Столбец4]]="отсутствует"),"",INDEX(Лист2!$A$8:$O$179,MATCH(A42,Лист2!$B$8:$B$179,0),10))</f>
        <v/>
      </c>
      <c r="J42" s="147" t="str">
        <f>IF(OR(Таблица1821[[#This Row],[Столбец1]]="",Таблица1821[[#This Row],[Столбец4]]="отсутствует"),"",INDEX(Лист2!$A$8:$O$179,MATCH(A42,Лист2!$B$8:$B$179,0),11))</f>
        <v/>
      </c>
      <c r="K42" s="147" t="str">
        <f>IF(OR(Таблица1821[[#This Row],[Столбец1]]="",Таблица1821[[#This Row],[Столбец4]]="отсутствует"),"",INDEX(Лист2!$A$8:$O$179,MATCH(A42,Лист2!$B$8:$B$179,0),12))</f>
        <v/>
      </c>
      <c r="L42" s="147" t="str">
        <f>IF(OR(Таблица1821[[#This Row],[Столбец1]]="",Таблица1821[[#This Row],[Столбец4]]="отсутствует"),"",INDEX(Лист2!$A$8:$O$179,MATCH(A42,Лист2!$B$8:$B$179,0),13))</f>
        <v/>
      </c>
      <c r="M42" s="147" t="str">
        <f>IF(OR(Таблица1821[[#This Row],[Столбец1]]="",Таблица1821[[#This Row],[Столбец4]]="отсутствует"),"",INDEX(Лист2!$A$8:$O$179,MATCH(A42,Лист2!$B$8:$B$179,0),14))</f>
        <v/>
      </c>
      <c r="N42" s="148" t="str">
        <f>IF(Таблица1821[[#This Row],[Столбец1]]="","",IF(INDEX(Лист2!$A$8:$O$179,MATCH(A42,Лист2!$B$8:$B$179,0),15)=0,"",INDEX(Лист2!$A$8:$O$179,MATCH(A42,Лист2!$B$8:$B$179,0),15)))</f>
        <v/>
      </c>
      <c r="O42" s="142"/>
    </row>
    <row r="43" spans="1:15" ht="33" customHeight="1" x14ac:dyDescent="0.25">
      <c r="A43" s="170" t="s">
        <v>304</v>
      </c>
      <c r="B43" s="170"/>
      <c r="C43" s="170"/>
      <c r="D43" s="170"/>
      <c r="E43" s="150">
        <f>SUM(E40:E42)</f>
        <v>0</v>
      </c>
      <c r="F43" s="150">
        <f>SUM(F40:F42)</f>
        <v>600</v>
      </c>
      <c r="G43" s="150">
        <f>SUM(G40:G42)</f>
        <v>600</v>
      </c>
      <c r="H43" s="151"/>
      <c r="I43" s="152"/>
      <c r="J43" s="152"/>
      <c r="K43" s="152"/>
      <c r="L43" s="152"/>
      <c r="M43" s="152"/>
      <c r="N43" s="152"/>
      <c r="O43" s="142"/>
    </row>
    <row r="44" spans="1:15" ht="110.25" x14ac:dyDescent="0.25">
      <c r="A44" s="147" t="s">
        <v>425</v>
      </c>
      <c r="B44" s="147" t="str">
        <f>IF(Таблица182123[[#This Row],[Столбец1]]="","",INDEX(Лист2!$A$8:$O$179,MATCH(A44,Лист2!$B$8:$B$179,0),3))</f>
        <v>Эксплуатация</v>
      </c>
      <c r="C44" s="148" t="str">
        <f>IF(Таблица182123[[#This Row],[Столбец1]]="","",INDEX(Лист2!$A$8:$O$179,MATCH(A44,Лист2!$B$8:$B$179,0),4))</f>
        <v>Связь и Интернет</v>
      </c>
      <c r="D44" s="147" t="str">
        <f>IF(Таблица182123[[#This Row],[Столбец1]]="","",INDEX(Лист2!$A$8:$O$179,MATCH(A44,Лист2!$B$8:$B$14,0),5))</f>
        <v>отсутствует</v>
      </c>
      <c r="E44" s="149">
        <f>IF(Таблица182123[[#This Row],[Столбец1]]="","",INDEX(Лист2!$A$8:$O$179,MATCH(A44,Лист2!$B$8:$B$179,0),6))</f>
        <v>572.6</v>
      </c>
      <c r="F44" s="149">
        <f>IF(Таблица182123[[#This Row],[Столбец1]]="","",INDEX(Лист2!$A$8:$O$179,MATCH(A44,Лист2!$B$8:$B$179,0),7))</f>
        <v>572</v>
      </c>
      <c r="G44" s="149">
        <f>IF(Таблица182123[[#This Row],[Столбец1]]="","",INDEX(Лист2!$A$8:$O$179,MATCH(A44,Лист2!$B$8:$B$179,0),8))</f>
        <v>572</v>
      </c>
      <c r="H44" s="148" t="str">
        <f>IF(OR(Таблица182123[[#This Row],[Столбец1]]="",Таблица182123[[#This Row],[Столбец4]]="отсутствует"),"",INDEX(Лист2!$A$8:$O$179,MATCH(A44,Лист2!$B$8:$B$179,0),9))</f>
        <v/>
      </c>
      <c r="I44" s="147" t="str">
        <f>IF(OR(Таблица182123[[#This Row],[Столбец1]]="",Таблица182123[[#This Row],[Столбец4]]="отсутствует"),"",INDEX(Лист2!$A$8:$O$179,MATCH(A44,Лист2!$B$8:$B$179,0),10))</f>
        <v/>
      </c>
      <c r="J44" s="147" t="str">
        <f>IF(OR(Таблица182123[[#This Row],[Столбец1]]="",Таблица182123[[#This Row],[Столбец4]]="отсутствует"),"",INDEX(Лист2!$A$8:$O$179,MATCH(A44,Лист2!$B$8:$B$179,0),11))</f>
        <v/>
      </c>
      <c r="K44" s="147" t="str">
        <f>IF(OR(Таблица182123[[#This Row],[Столбец1]]="",Таблица182123[[#This Row],[Столбец4]]="отсутствует"),"",INDEX(Лист2!$A$8:$O$179,MATCH(A44,Лист2!$B$8:$B$179,0),12))</f>
        <v/>
      </c>
      <c r="L44" s="147" t="str">
        <f>IF(OR(Таблица182123[[#This Row],[Столбец1]]="",Таблица182123[[#This Row],[Столбец4]]="отсутствует"),"",INDEX(Лист2!$A$8:$O$179,MATCH(A44,Лист2!$B$8:$B$179,0),13))</f>
        <v/>
      </c>
      <c r="M44" s="147" t="str">
        <f>IF(OR(Таблица182123[[#This Row],[Столбец1]]="",Таблица182123[[#This Row],[Столбец4]]="отсутствует"),"",INDEX(Лист2!$A$8:$O$179,MATCH(A44,Лист2!$B$8:$B$179,0),14))</f>
        <v/>
      </c>
      <c r="N44" s="148" t="str">
        <f>IF(Таблица182123[[#This Row],[Столбец1]]="","",IF(INDEX(Лист2!$A$8:$O$179,MATCH(A44,Лист2!$B$8:$B$179,0),15)=0,"",INDEX(Лист2!$A$8:$O$179,MATCH(A44,Лист2!$B$8:$B$179,0),15)))</f>
        <v>Постановление Правительства Оренбургской области от 29.12.2018 № 915-пп «Об утверждении государственной программы «Развитие культуры Оренбургской области» на 2019–2024 годы»"; основное мероприятие 1.4 "Развитие архивного дела"</v>
      </c>
      <c r="O44" s="142"/>
    </row>
    <row r="45" spans="1:15" ht="110.25" x14ac:dyDescent="0.25">
      <c r="A45" s="147" t="s">
        <v>426</v>
      </c>
      <c r="B45" s="147" t="str">
        <f>IF(Таблица182123[[#This Row],[Столбец1]]="","",INDEX(Лист2!$A$8:$O$179,MATCH(A45,Лист2!$B$8:$B$179,0),3))</f>
        <v>Эксплуатация</v>
      </c>
      <c r="C45" s="148" t="str">
        <f>IF(Таблица182123[[#This Row],[Столбец1]]="","",INDEX(Лист2!$A$8:$O$179,MATCH(A45,Лист2!$B$8:$B$179,0),4))</f>
        <v>Оргтехника</v>
      </c>
      <c r="D45" s="147" t="str">
        <f>IF(Таблица182123[[#This Row],[Столбец1]]="","",INDEX(Лист2!$A$8:$O$179,MATCH(A45,Лист2!$B$8:$B$14,0),5))</f>
        <v>отсутствует</v>
      </c>
      <c r="E45" s="149">
        <f>IF(Таблица182123[[#This Row],[Столбец1]]="","",INDEX(Лист2!$A$8:$O$179,MATCH(A45,Лист2!$B$8:$B$179,0),6))</f>
        <v>250</v>
      </c>
      <c r="F45" s="149">
        <f>IF(Таблица182123[[#This Row],[Столбец1]]="","",INDEX(Лист2!$A$8:$O$179,MATCH(A45,Лист2!$B$8:$B$179,0),7))</f>
        <v>210</v>
      </c>
      <c r="G45" s="149">
        <f>IF(Таблица182123[[#This Row],[Столбец1]]="","",INDEX(Лист2!$A$8:$O$179,MATCH(A45,Лист2!$B$8:$B$179,0),8))</f>
        <v>210</v>
      </c>
      <c r="H45" s="148" t="str">
        <f>IF(OR(Таблица182123[[#This Row],[Столбец1]]="",Таблица182123[[#This Row],[Столбец4]]="отсутствует"),"",INDEX(Лист2!$A$8:$O$179,MATCH(A45,Лист2!$B$8:$B$179,0),9))</f>
        <v/>
      </c>
      <c r="I45" s="147" t="str">
        <f>IF(OR(Таблица182123[[#This Row],[Столбец1]]="",Таблица182123[[#This Row],[Столбец4]]="отсутствует"),"",INDEX(Лист2!$A$8:$O$179,MATCH(A45,Лист2!$B$8:$B$179,0),10))</f>
        <v/>
      </c>
      <c r="J45" s="147" t="str">
        <f>IF(OR(Таблица182123[[#This Row],[Столбец1]]="",Таблица182123[[#This Row],[Столбец4]]="отсутствует"),"",INDEX(Лист2!$A$8:$O$179,MATCH(A45,Лист2!$B$8:$B$179,0),11))</f>
        <v/>
      </c>
      <c r="K45" s="147" t="str">
        <f>IF(OR(Таблица182123[[#This Row],[Столбец1]]="",Таблица182123[[#This Row],[Столбец4]]="отсутствует"),"",INDEX(Лист2!$A$8:$O$179,MATCH(A45,Лист2!$B$8:$B$179,0),12))</f>
        <v/>
      </c>
      <c r="L45" s="147" t="str">
        <f>IF(OR(Таблица182123[[#This Row],[Столбец1]]="",Таблица182123[[#This Row],[Столбец4]]="отсутствует"),"",INDEX(Лист2!$A$8:$O$179,MATCH(A45,Лист2!$B$8:$B$179,0),13))</f>
        <v/>
      </c>
      <c r="M45" s="147" t="str">
        <f>IF(OR(Таблица182123[[#This Row],[Столбец1]]="",Таблица182123[[#This Row],[Столбец4]]="отсутствует"),"",INDEX(Лист2!$A$8:$O$179,MATCH(A45,Лист2!$B$8:$B$179,0),14))</f>
        <v/>
      </c>
      <c r="N45" s="148" t="str">
        <f>IF(Таблица182123[[#This Row],[Столбец1]]="","",IF(INDEX(Лист2!$A$8:$O$179,MATCH(A45,Лист2!$B$8:$B$179,0),15)=0,"",INDEX(Лист2!$A$8:$O$179,MATCH(A45,Лист2!$B$8:$B$179,0),15)))</f>
        <v>Постановление Правительства Оренбургской области от 29.12.2018 № 915-пп «Об утверждении государственной программы «Развитие культуры Оренбургской области» на 2019–2024 годы»"; основное мероприятие 1.4 "Развитие архивного дела"</v>
      </c>
      <c r="O45" s="142"/>
    </row>
    <row r="46" spans="1:15" ht="62.25" customHeight="1" x14ac:dyDescent="0.25">
      <c r="A46" s="147" t="s">
        <v>427</v>
      </c>
      <c r="B46" s="147" t="str">
        <f>IF(Таблица182123[[#This Row],[Столбец1]]="","",INDEX(Лист2!$A$8:$O$179,MATCH(A46,Лист2!$B$8:$B$179,0),3))</f>
        <v>Эксплуатация</v>
      </c>
      <c r="C46" s="148" t="str">
        <f>IF(Таблица182123[[#This Row],[Столбец1]]="","",INDEX(Лист2!$A$8:$O$179,MATCH(A46,Лист2!$B$8:$B$179,0),4))</f>
        <v>Программное обеспечение</v>
      </c>
      <c r="D46" s="147" t="str">
        <f>IF(Таблица182123[[#This Row],[Столбец1]]="","",INDEX(Лист2!$A$8:$O$179,MATCH(A46,Лист2!$B$8:$B$14,0),5))</f>
        <v>отсутствует</v>
      </c>
      <c r="E46" s="149">
        <f>IF(Таблица182123[[#This Row],[Столбец1]]="","",INDEX(Лист2!$A$8:$O$179,MATCH(A46,Лист2!$B$8:$B$179,0),6))</f>
        <v>210</v>
      </c>
      <c r="F46" s="149">
        <f>IF(Таблица182123[[#This Row],[Столбец1]]="","",INDEX(Лист2!$A$8:$O$179,MATCH(A46,Лист2!$B$8:$B$179,0),7))</f>
        <v>170.7</v>
      </c>
      <c r="G46" s="149">
        <f>IF(Таблица182123[[#This Row],[Столбец1]]="","",INDEX(Лист2!$A$8:$O$179,MATCH(A46,Лист2!$B$8:$B$179,0),8))</f>
        <v>170.7</v>
      </c>
      <c r="H46" s="148" t="str">
        <f>IF(OR(Таблица182123[[#This Row],[Столбец1]]="",Таблица182123[[#This Row],[Столбец4]]="отсутствует"),"",INDEX(Лист2!$A$8:$O$179,MATCH(A46,Лист2!$B$8:$B$179,0),9))</f>
        <v/>
      </c>
      <c r="I46" s="147" t="str">
        <f>IF(OR(Таблица182123[[#This Row],[Столбец1]]="",Таблица182123[[#This Row],[Столбец4]]="отсутствует"),"",INDEX(Лист2!$A$8:$O$179,MATCH(A46,Лист2!$B$8:$B$179,0),10))</f>
        <v/>
      </c>
      <c r="J46" s="147" t="str">
        <f>IF(OR(Таблица182123[[#This Row],[Столбец1]]="",Таблица182123[[#This Row],[Столбец4]]="отсутствует"),"",INDEX(Лист2!$A$8:$O$179,MATCH(A46,Лист2!$B$8:$B$179,0),11))</f>
        <v/>
      </c>
      <c r="K46" s="147" t="str">
        <f>IF(OR(Таблица182123[[#This Row],[Столбец1]]="",Таблица182123[[#This Row],[Столбец4]]="отсутствует"),"",INDEX(Лист2!$A$8:$O$179,MATCH(A46,Лист2!$B$8:$B$179,0),12))</f>
        <v/>
      </c>
      <c r="L46" s="147" t="str">
        <f>IF(OR(Таблица182123[[#This Row],[Столбец1]]="",Таблица182123[[#This Row],[Столбец4]]="отсутствует"),"",INDEX(Лист2!$A$8:$O$179,MATCH(A46,Лист2!$B$8:$B$179,0),13))</f>
        <v/>
      </c>
      <c r="M46" s="147" t="str">
        <f>IF(OR(Таблица182123[[#This Row],[Столбец1]]="",Таблица182123[[#This Row],[Столбец4]]="отсутствует"),"",INDEX(Лист2!$A$8:$O$179,MATCH(A46,Лист2!$B$8:$B$179,0),14))</f>
        <v/>
      </c>
      <c r="N46" s="148" t="str">
        <f>IF(Таблица182123[[#This Row],[Столбец1]]="","",IF(INDEX(Лист2!$A$8:$O$179,MATCH(A46,Лист2!$B$8:$B$179,0),15)=0,"",INDEX(Лист2!$A$8:$O$179,MATCH(A46,Лист2!$B$8:$B$179,0),15)))</f>
        <v>Постановление Правительства Оренбургской области от 29.12.2018 № 915-пп «Об утверждении государственной программы «Развитие культуры Оренбургской области» на 2019–2024 годы»"; основное мероприятие 1.4 "Развитие архивного дела"</v>
      </c>
      <c r="O46" s="142"/>
    </row>
    <row r="47" spans="1:15" ht="48.75" customHeight="1" x14ac:dyDescent="0.25">
      <c r="A47" s="147"/>
      <c r="B47" s="147"/>
      <c r="C47" s="148"/>
      <c r="D47" s="147"/>
      <c r="E47" s="149"/>
      <c r="F47" s="149"/>
      <c r="G47" s="149"/>
      <c r="H47" s="148"/>
      <c r="I47" s="147"/>
      <c r="J47" s="147"/>
      <c r="K47" s="147"/>
      <c r="L47" s="147"/>
      <c r="M47" s="147"/>
      <c r="N47" s="148"/>
      <c r="O47" s="142"/>
    </row>
    <row r="48" spans="1:15" ht="17.25" customHeight="1" x14ac:dyDescent="0.25">
      <c r="A48" s="147"/>
      <c r="B48" s="147" t="str">
        <f>IF(Таблица182123[[#This Row],[Столбец1]]="","",INDEX(Лист2!$A$8:$O$179,MATCH(A48,Лист2!$B$8:$B$179,0),3))</f>
        <v/>
      </c>
      <c r="C48" s="148" t="str">
        <f>IF(Таблица182123[[#This Row],[Столбец1]]="","",INDEX(Лист2!$A$8:$O$179,MATCH(A48,Лист2!$B$8:$B$179,0),4))</f>
        <v/>
      </c>
      <c r="D48" s="147" t="str">
        <f>IF(Таблица182123[[#This Row],[Столбец1]]="","",INDEX(Лист2!$A$8:$O$179,MATCH(A48,Лист2!$B$8:$B$14,0),5))</f>
        <v/>
      </c>
      <c r="E48" s="149" t="str">
        <f>IF(Таблица182123[[#This Row],[Столбец1]]="","",INDEX(Лист2!$A$8:$O$179,MATCH(A48,Лист2!$B$8:$B$179,0),6))</f>
        <v/>
      </c>
      <c r="F48" s="149" t="str">
        <f>IF(Таблица182123[[#This Row],[Столбец1]]="","",INDEX(Лист2!$A$8:$O$179,MATCH(A48,Лист2!$B$8:$B$179,0),7))</f>
        <v/>
      </c>
      <c r="G48" s="149" t="str">
        <f>IF(Таблица182123[[#This Row],[Столбец1]]="","",INDEX(Лист2!$A$8:$O$179,MATCH(A48,Лист2!$B$8:$B$179,0),8))</f>
        <v/>
      </c>
      <c r="H48" s="148" t="str">
        <f>IF(OR(Таблица182123[[#This Row],[Столбец1]]="",Таблица182123[[#This Row],[Столбец4]]="отсутствует"),"",INDEX(Лист2!$A$8:$O$179,MATCH(A48,Лист2!$B$8:$B$179,0),9))</f>
        <v/>
      </c>
      <c r="I48" s="147" t="str">
        <f>IF(OR(Таблица182123[[#This Row],[Столбец1]]="",Таблица182123[[#This Row],[Столбец4]]="отсутствует"),"",INDEX(Лист2!$A$8:$O$179,MATCH(A48,Лист2!$B$8:$B$179,0),10))</f>
        <v/>
      </c>
      <c r="J48" s="147" t="str">
        <f>IF(OR(Таблица182123[[#This Row],[Столбец1]]="",Таблица182123[[#This Row],[Столбец4]]="отсутствует"),"",INDEX(Лист2!$A$8:$O$179,MATCH(A48,Лист2!$B$8:$B$179,0),11))</f>
        <v/>
      </c>
      <c r="K48" s="147" t="str">
        <f>IF(OR(Таблица182123[[#This Row],[Столбец1]]="",Таблица182123[[#This Row],[Столбец4]]="отсутствует"),"",INDEX(Лист2!$A$8:$O$179,MATCH(A48,Лист2!$B$8:$B$179,0),12))</f>
        <v/>
      </c>
      <c r="L48" s="147" t="str">
        <f>IF(OR(Таблица182123[[#This Row],[Столбец1]]="",Таблица182123[[#This Row],[Столбец4]]="отсутствует"),"",INDEX(Лист2!$A$8:$O$179,MATCH(A48,Лист2!$B$8:$B$179,0),13))</f>
        <v/>
      </c>
      <c r="M48" s="147" t="str">
        <f>IF(OR(Таблица182123[[#This Row],[Столбец1]]="",Таблица182123[[#This Row],[Столбец4]]="отсутствует"),"",INDEX(Лист2!$A$8:$O$179,MATCH(A48,Лист2!$B$8:$B$179,0),14))</f>
        <v/>
      </c>
      <c r="N48" s="148" t="str">
        <f>IF(Таблица182123[[#This Row],[Столбец1]]="","",IF(INDEX(Лист2!$A$8:$O$179,MATCH(A48,Лист2!$B$8:$B$179,0),15)=0,"",INDEX(Лист2!$A$8:$O$179,MATCH(A48,Лист2!$B$8:$B$179,0),15)))</f>
        <v/>
      </c>
      <c r="O48" s="142"/>
    </row>
    <row r="49" spans="1:15" ht="15.75" x14ac:dyDescent="0.25">
      <c r="A49" s="147"/>
      <c r="B49" s="147" t="str">
        <f>IF(Таблица182123[[#This Row],[Столбец1]]="","",INDEX(Лист2!$A$8:$O$179,MATCH(A49,Лист2!$B$8:$B$179,0),3))</f>
        <v/>
      </c>
      <c r="C49" s="148" t="str">
        <f>IF(Таблица182123[[#This Row],[Столбец1]]="","",INDEX(Лист2!$A$8:$O$179,MATCH(A49,Лист2!$B$8:$B$179,0),4))</f>
        <v/>
      </c>
      <c r="D49" s="147" t="str">
        <f>IF(Таблица182123[[#This Row],[Столбец1]]="","",INDEX(Лист2!$A$8:$O$179,MATCH(A49,Лист2!$B$8:$B$179,0),5))</f>
        <v/>
      </c>
      <c r="E49" s="149" t="str">
        <f>IF(Таблица182123[[#This Row],[Столбец1]]="","",INDEX(Лист2!$A$8:$O$179,MATCH(A49,Лист2!$B$8:$B$179,0),6))</f>
        <v/>
      </c>
      <c r="F49" s="149" t="str">
        <f>IF(Таблица182123[[#This Row],[Столбец1]]="","",INDEX(Лист2!$A$8:$O$179,MATCH(A49,Лист2!$B$8:$B$179,0),7))</f>
        <v/>
      </c>
      <c r="G49" s="149" t="str">
        <f>IF(Таблица182123[[#This Row],[Столбец1]]="","",INDEX(Лист2!$A$8:$O$179,MATCH(A49,Лист2!$B$8:$B$179,0),8))</f>
        <v/>
      </c>
      <c r="H49" s="148"/>
      <c r="I49" s="147"/>
      <c r="J49" s="147"/>
      <c r="K49" s="147"/>
      <c r="L49" s="147"/>
      <c r="M49" s="147"/>
      <c r="N49" s="148" t="str">
        <f>IF(Таблица182123[[#This Row],[Столбец1]]="","",IF(INDEX(Лист2!$A$8:$O$179,MATCH(A49,Лист2!$B$8:$B$179,0),15)=0,"",INDEX(Лист2!$A$8:$O$179,MATCH(A49,Лист2!$B$8:$B$179,0),15)))</f>
        <v/>
      </c>
      <c r="O49" s="142"/>
    </row>
    <row r="50" spans="1:15" ht="15.75" x14ac:dyDescent="0.25">
      <c r="A50" s="147"/>
      <c r="B50" s="147" t="str">
        <f>IF(Таблица182123[[#This Row],[Столбец1]]="","",INDEX(Лист2!$A$8:$O$179,MATCH(A50,Лист2!$B$8:$B$179,0),3))</f>
        <v/>
      </c>
      <c r="C50" s="148" t="str">
        <f>IF(Таблица182123[[#This Row],[Столбец1]]="","",INDEX(Лист2!$A$8:$O$179,MATCH(A50,Лист2!$B$8:$B$179,0),4))</f>
        <v/>
      </c>
      <c r="D50" s="147" t="str">
        <f>IF(Таблица182123[[#This Row],[Столбец1]]="","",INDEX(Лист2!$A$8:$O$179,MATCH(A50,Лист2!$B$8:$B$179,0),5))</f>
        <v/>
      </c>
      <c r="E50" s="149" t="str">
        <f>IF(Таблица182123[[#This Row],[Столбец1]]="","",INDEX(Лист2!$A$8:$O$179,MATCH(A50,Лист2!$B$8:$B$179,0),6))</f>
        <v/>
      </c>
      <c r="F50" s="149" t="str">
        <f>IF(Таблица182123[[#This Row],[Столбец1]]="","",INDEX(Лист2!$A$8:$O$179,MATCH(A50,Лист2!$B$8:$B$179,0),7))</f>
        <v/>
      </c>
      <c r="G50" s="149" t="str">
        <f>IF(Таблица182123[[#This Row],[Столбец1]]="","",INDEX(Лист2!$A$8:$O$179,MATCH(A50,Лист2!$B$8:$B$179,0),8))</f>
        <v/>
      </c>
      <c r="H50" s="148"/>
      <c r="I50" s="147"/>
      <c r="J50" s="147"/>
      <c r="K50" s="147"/>
      <c r="L50" s="147"/>
      <c r="M50" s="147"/>
      <c r="N50" s="148" t="str">
        <f>IF(Таблица182123[[#This Row],[Столбец1]]="","",IF(INDEX(Лист2!$A$8:$O$179,MATCH(A50,Лист2!$B$8:$B$179,0),15)=0,"",INDEX(Лист2!$A$8:$O$179,MATCH(A50,Лист2!$B$8:$B$179,0),15)))</f>
        <v/>
      </c>
      <c r="O50" s="142"/>
    </row>
    <row r="51" spans="1:15" ht="15.75" x14ac:dyDescent="0.25">
      <c r="A51" s="147"/>
      <c r="B51" s="147" t="str">
        <f>IF(Таблица182123[[#This Row],[Столбец1]]="","",INDEX(Лист2!$A$8:$O$179,MATCH(A51,Лист2!$B$8:$B$179,0),3))</f>
        <v/>
      </c>
      <c r="C51" s="148" t="str">
        <f>IF(Таблица182123[[#This Row],[Столбец1]]="","",INDEX(Лист2!$A$8:$O$179,MATCH(A51,Лист2!$B$8:$B$179,0),4))</f>
        <v/>
      </c>
      <c r="D51" s="147" t="str">
        <f>IF(Таблица182123[[#This Row],[Столбец1]]="","",INDEX(Лист2!$A$8:$O$179,MATCH(A51,Лист2!$B$8:$B$179,0),5))</f>
        <v/>
      </c>
      <c r="E51" s="149" t="str">
        <f>IF(Таблица182123[[#This Row],[Столбец1]]="","",INDEX(Лист2!$A$8:$O$179,MATCH(A51,Лист2!$B$8:$B$179,0),6))</f>
        <v/>
      </c>
      <c r="F51" s="149" t="str">
        <f>IF(Таблица182123[[#This Row],[Столбец1]]="","",INDEX(Лист2!$A$8:$O$179,MATCH(A51,Лист2!$B$8:$B$179,0),7))</f>
        <v/>
      </c>
      <c r="G51" s="149" t="str">
        <f>IF(Таблица182123[[#This Row],[Столбец1]]="","",INDEX(Лист2!$A$8:$O$179,MATCH(A51,Лист2!$B$8:$B$179,0),8))</f>
        <v/>
      </c>
      <c r="H51" s="148" t="str">
        <f>IF(OR(Таблица182123[[#This Row],[Столбец1]]="",Таблица182123[[#This Row],[Столбец4]]="отсутствует"),"",INDEX(Лист2!$A$8:$O$179,MATCH(A51,Лист2!$B$8:$B$179,0),9))</f>
        <v/>
      </c>
      <c r="I51" s="147" t="str">
        <f>IF(OR(Таблица182123[[#This Row],[Столбец1]]="",Таблица182123[[#This Row],[Столбец4]]="отсутствует"),"",INDEX(Лист2!$A$8:$O$179,MATCH(A51,Лист2!$B$8:$B$179,0),10))</f>
        <v/>
      </c>
      <c r="J51" s="147" t="str">
        <f>IF(OR(Таблица182123[[#This Row],[Столбец1]]="",Таблица182123[[#This Row],[Столбец4]]="отсутствует"),"",INDEX(Лист2!$A$8:$O$179,MATCH(A51,Лист2!$B$8:$B$179,0),11))</f>
        <v/>
      </c>
      <c r="K51" s="147" t="str">
        <f>IF(OR(Таблица182123[[#This Row],[Столбец1]]="",Таблица182123[[#This Row],[Столбец4]]="отсутствует"),"",INDEX(Лист2!$A$8:$O$179,MATCH(A51,Лист2!$B$8:$B$179,0),12))</f>
        <v/>
      </c>
      <c r="L51" s="147" t="str">
        <f>IF(OR(Таблица182123[[#This Row],[Столбец1]]="",Таблица182123[[#This Row],[Столбец4]]="отсутствует"),"",INDEX(Лист2!$A$8:$O$179,MATCH(A51,Лист2!$B$8:$B$179,0),13))</f>
        <v/>
      </c>
      <c r="M51" s="147" t="str">
        <f>IF(OR(Таблица182123[[#This Row],[Столбец1]]="",Таблица182123[[#This Row],[Столбец4]]="отсутствует"),"",INDEX(Лист2!$A$8:$O$179,MATCH(A51,Лист2!$B$8:$B$179,0),14))</f>
        <v/>
      </c>
      <c r="N51" s="148" t="str">
        <f>IF(Таблица182123[[#This Row],[Столбец1]]="","",IF(INDEX(Лист2!$A$8:$O$179,MATCH(A51,Лист2!$B$8:$B$179,0),15)=0,"",INDEX(Лист2!$A$8:$O$179,MATCH(A51,Лист2!$B$8:$B$179,0),15)))</f>
        <v/>
      </c>
      <c r="O51" s="142"/>
    </row>
    <row r="52" spans="1:15" ht="15.75" x14ac:dyDescent="0.25">
      <c r="A52" s="147"/>
      <c r="B52" s="147" t="str">
        <f>IF(Таблица182123[[#This Row],[Столбец1]]="","",INDEX(Лист2!$A$8:$O$179,MATCH(A52,Лист2!$B$8:$B$179,0),3))</f>
        <v/>
      </c>
      <c r="C52" s="148" t="str">
        <f>IF(Таблица182123[[#This Row],[Столбец1]]="","",INDEX(Лист2!$A$8:$O$179,MATCH(A52,Лист2!$B$8:$B$179,0),4))</f>
        <v/>
      </c>
      <c r="D52" s="147" t="str">
        <f>IF(Таблица182123[[#This Row],[Столбец1]]="","",INDEX(Лист2!$A$8:$O$179,MATCH(A52,Лист2!$B$8:$B$179,0),5))</f>
        <v/>
      </c>
      <c r="E52" s="149" t="str">
        <f>IF(Таблица182123[[#This Row],[Столбец1]]="","",INDEX(Лист2!$A$8:$O$179,MATCH(A52,Лист2!$B$8:$B$179,0),6))</f>
        <v/>
      </c>
      <c r="F52" s="149" t="str">
        <f>IF(Таблица182123[[#This Row],[Столбец1]]="","",INDEX(Лист2!$A$8:$O$179,MATCH(A52,Лист2!$B$8:$B$179,0),7))</f>
        <v/>
      </c>
      <c r="G52" s="149" t="str">
        <f>IF(Таблица182123[[#This Row],[Столбец1]]="","",INDEX(Лист2!$A$8:$O$179,MATCH(A52,Лист2!$B$8:$B$179,0),8))</f>
        <v/>
      </c>
      <c r="H52" s="148" t="str">
        <f>IF(OR(Таблица182123[[#This Row],[Столбец1]]="",Таблица182123[[#This Row],[Столбец4]]="отсутствует"),"",INDEX(Лист2!$A$8:$O$14,MATCH(A52,Лист2!$B$8:$B$14,0),9))</f>
        <v/>
      </c>
      <c r="I52" s="147" t="str">
        <f>IF(OR(Таблица182123[[#This Row],[Столбец1]]="",Таблица182123[[#This Row],[Столбец4]]="отсутствует"),"",INDEX(Лист2!$A$8:$O$14,MATCH(A52,Лист2!$B$8:$B$14,0),10))</f>
        <v/>
      </c>
      <c r="J52" s="147" t="str">
        <f>IF(OR(Таблица182123[[#This Row],[Столбец1]]="",Таблица182123[[#This Row],[Столбец4]]="отсутствует"),"",INDEX(Лист2!$A$8:$O$14,MATCH(A52,Лист2!$B$8:$B$14,0),11))</f>
        <v/>
      </c>
      <c r="K52" s="147" t="str">
        <f>IF(OR(Таблица182123[[#This Row],[Столбец1]]="",Таблица182123[[#This Row],[Столбец4]]="отсутствует"),"",INDEX(Лист2!$A$8:$O$14,MATCH(A52,Лист2!$B$8:$B$14,0),12))</f>
        <v/>
      </c>
      <c r="L52" s="147" t="str">
        <f>IF(OR(Таблица182123[[#This Row],[Столбец1]]="",Таблица182123[[#This Row],[Столбец4]]="отсутствует"),"",INDEX(Лист2!$A$8:$O$14,MATCH(A52,Лист2!$B$8:$B$14,0),13))</f>
        <v/>
      </c>
      <c r="M52" s="147" t="str">
        <f>IF(OR(Таблица182123[[#This Row],[Столбец1]]="",Таблица182123[[#This Row],[Столбец4]]="отсутствует"),"",INDEX(Лист2!$A$8:$O$14,MATCH(A52,Лист2!$B$8:$B$14,0),14))</f>
        <v/>
      </c>
      <c r="N52" s="148" t="str">
        <f>IF(Таблица182123[[#This Row],[Столбец1]]="","",IF(INDEX(Лист2!$A$8:$O$14,MATCH(A52,Лист2!$B$8:$B$14,0),15)=0,"",INDEX(Лист2!$A$8:$O$14,MATCH(A52,Лист2!$B$8:$B$14,0),15)))</f>
        <v/>
      </c>
      <c r="O52" s="142"/>
    </row>
    <row r="53" spans="1:15" ht="15.75" x14ac:dyDescent="0.25">
      <c r="A53" s="147"/>
      <c r="B53" s="147" t="str">
        <f>IF(Таблица182123[[#This Row],[Столбец1]]="","",INDEX(Лист2!$A$8:$O$179,MATCH(A53,Лист2!$B$8:$B$179,0),3))</f>
        <v/>
      </c>
      <c r="C53" s="148" t="str">
        <f>IF(Таблица182123[[#This Row],[Столбец1]]="","",INDEX(Лист2!$A$8:$O$179,MATCH(A53,Лист2!$B$8:$B$179,0),4))</f>
        <v/>
      </c>
      <c r="D53" s="147" t="str">
        <f>IF(Таблица182123[[#This Row],[Столбец1]]="","",INDEX(Лист2!$A$8:$O$179,MATCH(A53,Лист2!$B$8:$B$179,0),5))</f>
        <v/>
      </c>
      <c r="E53" s="149" t="str">
        <f>IF(Таблица182123[[#This Row],[Столбец1]]="","",INDEX(Лист2!$A$8:$O$179,MATCH(A53,Лист2!$B$8:$B$179,0),6))</f>
        <v/>
      </c>
      <c r="F53" s="149" t="str">
        <f>IF(Таблица182123[[#This Row],[Столбец1]]="","",INDEX(Лист2!$A$8:$O$179,MATCH(A53,Лист2!$B$8:$B$179,0),7))</f>
        <v/>
      </c>
      <c r="G53" s="149" t="str">
        <f>IF(Таблица182123[[#This Row],[Столбец1]]="","",INDEX(Лист2!$A$8:$O$179,MATCH(A53,Лист2!$B$8:$B$179,0),8))</f>
        <v/>
      </c>
      <c r="H53" s="148" t="str">
        <f>IF(OR(Таблица182123[[#This Row],[Столбец1]]="",Таблица182123[[#This Row],[Столбец4]]="отсутствует"),"",INDEX(Лист2!$A$8:$O$14,MATCH(A53,Лист2!$B$8:$B$14,0),9))</f>
        <v/>
      </c>
      <c r="I53" s="147" t="str">
        <f>IF(OR(Таблица182123[[#This Row],[Столбец1]]="",Таблица182123[[#This Row],[Столбец4]]="отсутствует"),"",INDEX(Лист2!$A$8:$O$14,MATCH(A53,Лист2!$B$8:$B$14,0),10))</f>
        <v/>
      </c>
      <c r="J53" s="147" t="str">
        <f>IF(OR(Таблица182123[[#This Row],[Столбец1]]="",Таблица182123[[#This Row],[Столбец4]]="отсутствует"),"",INDEX(Лист2!$A$8:$O$14,MATCH(A53,Лист2!$B$8:$B$14,0),11))</f>
        <v/>
      </c>
      <c r="K53" s="147" t="str">
        <f>IF(OR(Таблица182123[[#This Row],[Столбец1]]="",Таблица182123[[#This Row],[Столбец4]]="отсутствует"),"",INDEX(Лист2!$A$8:$O$14,MATCH(A53,Лист2!$B$8:$B$14,0),12))</f>
        <v/>
      </c>
      <c r="L53" s="147" t="str">
        <f>IF(OR(Таблица182123[[#This Row],[Столбец1]]="",Таблица182123[[#This Row],[Столбец4]]="отсутствует"),"",INDEX(Лист2!$A$8:$O$14,MATCH(A53,Лист2!$B$8:$B$14,0),13))</f>
        <v/>
      </c>
      <c r="M53" s="147" t="str">
        <f>IF(OR(Таблица182123[[#This Row],[Столбец1]]="",Таблица182123[[#This Row],[Столбец4]]="отсутствует"),"",INDEX(Лист2!$A$8:$O$14,MATCH(A53,Лист2!$B$8:$B$14,0),14))</f>
        <v/>
      </c>
      <c r="N53" s="148" t="str">
        <f>IF(Таблица182123[[#This Row],[Столбец1]]="","",IF(INDEX(Лист2!$A$8:$O$14,MATCH(A53,Лист2!$B$8:$B$14,0),15)=0,"",INDEX(Лист2!$A$8:$O$14,MATCH(A53,Лист2!$B$8:$B$14,0),15)))</f>
        <v/>
      </c>
      <c r="O53" s="142"/>
    </row>
    <row r="54" spans="1:15" ht="36" customHeight="1" x14ac:dyDescent="0.25">
      <c r="A54" s="170" t="s">
        <v>305</v>
      </c>
      <c r="B54" s="170"/>
      <c r="C54" s="170"/>
      <c r="D54" s="170"/>
      <c r="E54" s="150">
        <f>SUBTOTAL(109,Таблица182123[[#All],[Столбец5]])</f>
        <v>1032.5999999999999</v>
      </c>
      <c r="F54" s="150">
        <f>SUBTOTAL(109,Таблица182123[[#All],[Столбец6]])</f>
        <v>952.7</v>
      </c>
      <c r="G54" s="150">
        <f>SUBTOTAL(109,Таблица182123[[#All],[Столбец7]])</f>
        <v>952.7</v>
      </c>
      <c r="H54" s="151"/>
      <c r="I54" s="152"/>
      <c r="J54" s="152"/>
      <c r="K54" s="152"/>
      <c r="L54" s="152"/>
      <c r="M54" s="152"/>
      <c r="N54" s="152"/>
      <c r="O54" s="142"/>
    </row>
    <row r="55" spans="1:15" ht="15.75" x14ac:dyDescent="0.25">
      <c r="A55" s="147"/>
      <c r="B55" s="147" t="str">
        <f>IF(Таблица182124[[#This Row],[Столбец1]]="","",INDEX(Лист2!$A$8:$O$179,MATCH(A55,Лист2!$B$8:$B$179,0),3))</f>
        <v/>
      </c>
      <c r="C55" s="148" t="str">
        <f>IF(Таблица182124[[#This Row],[Столбец1]]="","",INDEX(Лист2!$A$8:$O$179,MATCH(A55,Лист2!$B$8:$B$179,0),4))</f>
        <v/>
      </c>
      <c r="D55" s="147" t="str">
        <f>IF(Таблица182124[[#This Row],[Столбец1]]="","",INDEX(Лист2!$A$8:$O$179,MATCH(A55,Лист2!$B$8:$B$179,0),5))</f>
        <v/>
      </c>
      <c r="E55" s="149" t="str">
        <f>IF(Таблица182124[[#This Row],[Столбец1]]="","",INDEX(Лист2!$A$8:$O$179,MATCH(A55,Лист2!$B$8:$B$179,0),6))</f>
        <v/>
      </c>
      <c r="F55" s="149" t="str">
        <f>IF(Таблица182124[[#This Row],[Столбец1]]="","",INDEX(Лист2!$A$8:$O$179,MATCH(A55,Лист2!$B$8:$B$179,0),7))</f>
        <v/>
      </c>
      <c r="G55" s="149" t="str">
        <f>IF(Таблица182124[[#This Row],[Столбец1]]="","",INDEX(Лист2!$A$8:$O$179,MATCH(A55,Лист2!$B$8:$B$179,0),8))</f>
        <v/>
      </c>
      <c r="H55" s="148" t="str">
        <f>IF(OR(Таблица182124[[#This Row],[Столбец1]]="",Таблица182124[[#This Row],[Столбец4]]="отсутствует"),"",INDEX(Лист2!$A$8:$O$179,MATCH(A55,Лист2!$B$8:$B$179,0),9))</f>
        <v/>
      </c>
      <c r="I55" s="147" t="str">
        <f>IF(OR(Таблица182124[[#This Row],[Столбец1]]="",Таблица182124[[#This Row],[Столбец4]]="отсутствует"),"",INDEX(Лист2!$A$8:$O$179,MATCH(A55,Лист2!$B$8:$B$179,0),10))</f>
        <v/>
      </c>
      <c r="J55" s="147" t="str">
        <f>IF(OR(Таблица182124[[#This Row],[Столбец1]]="",Таблица182124[[#This Row],[Столбец4]]="отсутствует"),"",INDEX(Лист2!$A$8:$O$179,MATCH(A55,Лист2!$B$8:$B$179,0),11))</f>
        <v/>
      </c>
      <c r="K55" s="147" t="str">
        <f>IF(OR(Таблица182124[[#This Row],[Столбец1]]="",Таблица182124[[#This Row],[Столбец4]]="отсутствует"),"",INDEX(Лист2!$A$8:$O$179,MATCH(A55,Лист2!$B$8:$B$179,0),12))</f>
        <v/>
      </c>
      <c r="L55" s="147" t="str">
        <f>IF(OR(Таблица182124[[#This Row],[Столбец1]]="",Таблица182124[[#This Row],[Столбец4]]="отсутствует"),"",INDEX(Лист2!$A$8:$O$179,MATCH(A55,Лист2!$B$8:$B$179,0),13))</f>
        <v/>
      </c>
      <c r="M55" s="147" t="str">
        <f>IF(OR(Таблица182124[[#This Row],[Столбец1]]="",Таблица182124[[#This Row],[Столбец4]]="отсутствует"),"",INDEX(Лист2!$A$8:$O$179,MATCH(A55,Лист2!$B$8:$B$179,0),14))</f>
        <v/>
      </c>
      <c r="N55" s="148" t="str">
        <f>IF(Таблица182124[[#This Row],[Столбец1]]="","",IF(INDEX(Лист2!$A$8:$O$179,MATCH(A55,Лист2!$B$8:$B$179,0),15)=0,"",INDEX(Лист2!$A$8:$O$179,MATCH(A55,Лист2!$B$8:$B$179,0),15)))</f>
        <v/>
      </c>
      <c r="O55" s="142"/>
    </row>
    <row r="56" spans="1:15" ht="15.75" x14ac:dyDescent="0.25">
      <c r="A56" s="137"/>
      <c r="B56" s="138" t="str">
        <f>IF(Таблица182124[[#This Row],[Столбец1]]="","",INDEX(Лист2!$A$8:$O$179,MATCH(A56,Лист2!$B$8:$B$179,0),3))</f>
        <v/>
      </c>
      <c r="C56" s="139" t="str">
        <f>IF(Таблица182124[[#This Row],[Столбец1]]="","",INDEX(Лист2!$A$8:$O$179,MATCH(A56,Лист2!$B$8:$B$179,0),4))</f>
        <v/>
      </c>
      <c r="D56" s="138" t="str">
        <f>IF(Таблица182124[[#This Row],[Столбец1]]="","",INDEX(Лист2!$A$8:$O$179,MATCH(A56,Лист2!$B$8:$B$179,0),5))</f>
        <v/>
      </c>
      <c r="E56" s="140" t="str">
        <f>IF(Таблица182124[[#This Row],[Столбец1]]="","",INDEX(Лист2!$A$8:$O$179,MATCH(A56,Лист2!$B$8:$B$179,0),6))</f>
        <v/>
      </c>
      <c r="F56" s="140" t="str">
        <f>IF(Таблица182124[[#This Row],[Столбец1]]="","",INDEX(Лист2!$A$8:$O$179,MATCH(A56,Лист2!$B$8:$B$179,0),7))</f>
        <v/>
      </c>
      <c r="G56" s="140" t="str">
        <f>IF(Таблица182124[[#This Row],[Столбец1]]="","",INDEX(Лист2!$A$8:$O$179,MATCH(A56,Лист2!$B$8:$B$179,0),8))</f>
        <v/>
      </c>
      <c r="H56" s="139" t="str">
        <f>IF(OR(Таблица182124[[#This Row],[Столбец1]]="",Таблица182124[[#This Row],[Столбец4]]="отсутствует"),"",INDEX(Лист2!$A$8:$O$179,MATCH(A56,Лист2!$B$8:$B$179,0),9))</f>
        <v/>
      </c>
      <c r="I56" s="138" t="str">
        <f>IF(OR(Таблица182124[[#This Row],[Столбец1]]="",Таблица182124[[#This Row],[Столбец4]]="отсутствует"),"",INDEX(Лист2!$A$8:$O$179,MATCH(A56,Лист2!$B$8:$B$179,0),10))</f>
        <v/>
      </c>
      <c r="J56" s="138" t="str">
        <f>IF(OR(Таблица182124[[#This Row],[Столбец1]]="",Таблица182124[[#This Row],[Столбец4]]="отсутствует"),"",INDEX(Лист2!$A$8:$O$179,MATCH(A56,Лист2!$B$8:$B$179,0),11))</f>
        <v/>
      </c>
      <c r="K56" s="138" t="str">
        <f>IF(OR(Таблица182124[[#This Row],[Столбец1]]="",Таблица182124[[#This Row],[Столбец4]]="отсутствует"),"",INDEX(Лист2!$A$8:$O$179,MATCH(A56,Лист2!$B$8:$B$179,0),12))</f>
        <v/>
      </c>
      <c r="L56" s="138" t="str">
        <f>IF(OR(Таблица182124[[#This Row],[Столбец1]]="",Таблица182124[[#This Row],[Столбец4]]="отсутствует"),"",INDEX(Лист2!$A$8:$O$179,MATCH(A56,Лист2!$B$8:$B$179,0),13))</f>
        <v/>
      </c>
      <c r="M56" s="138" t="str">
        <f>IF(OR(Таблица182124[[#This Row],[Столбец1]]="",Таблица182124[[#This Row],[Столбец4]]="отсутствует"),"",INDEX(Лист2!$A$8:$O$179,MATCH(A56,Лист2!$B$8:$B$179,0),14))</f>
        <v/>
      </c>
      <c r="N56" s="141" t="str">
        <f>IF(Таблица182124[[#This Row],[Столбец1]]="","",IF(INDEX(Лист2!$A$8:$O$179,MATCH(A56,Лист2!$B$8:$B$179,0),15)=0,"",INDEX(Лист2!$A$8:$O$179,MATCH(A56,Лист2!$B$8:$B$179,0),15)))</f>
        <v/>
      </c>
      <c r="O56" s="142"/>
    </row>
    <row r="57" spans="1:15" ht="15.75" x14ac:dyDescent="0.25">
      <c r="A57" s="137"/>
      <c r="B57" s="138" t="str">
        <f>IF(Таблица182124[[#This Row],[Столбец1]]="","",INDEX(Лист2!$A$8:$O$179,MATCH(A57,Лист2!$B$8:$B$179,0),3))</f>
        <v/>
      </c>
      <c r="C57" s="139" t="str">
        <f>IF(Таблица182124[[#This Row],[Столбец1]]="","",INDEX(Лист2!$A$8:$O$179,MATCH(A57,Лист2!$B$8:$B$179,0),4))</f>
        <v/>
      </c>
      <c r="D57" s="138" t="str">
        <f>IF(Таблица182124[[#This Row],[Столбец1]]="","",INDEX(Лист2!$A$8:$O$179,MATCH(A57,Лист2!$B$8:$B$179,0),5))</f>
        <v/>
      </c>
      <c r="E57" s="140" t="str">
        <f>IF(Таблица182124[[#This Row],[Столбец1]]="","",INDEX(Лист2!$A$8:$O$179,MATCH(A57,Лист2!$B$8:$B$179,0),6))</f>
        <v/>
      </c>
      <c r="F57" s="140" t="str">
        <f>IF(Таблица182124[[#This Row],[Столбец1]]="","",INDEX(Лист2!$A$8:$O$179,MATCH(A57,Лист2!$B$8:$B$179,0),7))</f>
        <v/>
      </c>
      <c r="G57" s="140" t="str">
        <f>IF(Таблица182124[[#This Row],[Столбец1]]="","",INDEX(Лист2!$A$8:$O$179,MATCH(A57,Лист2!$B$8:$B$179,0),8))</f>
        <v/>
      </c>
      <c r="H57" s="139" t="str">
        <f>IF(OR(Таблица182124[[#This Row],[Столбец1]]="",Таблица182124[[#This Row],[Столбец4]]="отсутствует"),"",INDEX(Лист2!$A$8:$O$179,MATCH(A57,Лист2!$B$8:$B$179,0),9))</f>
        <v/>
      </c>
      <c r="I57" s="138" t="str">
        <f>IF(OR(Таблица182124[[#This Row],[Столбец1]]="",Таблица182124[[#This Row],[Столбец4]]="отсутствует"),"",INDEX(Лист2!$A$8:$O$179,MATCH(A57,Лист2!$B$8:$B$179,0),10))</f>
        <v/>
      </c>
      <c r="J57" s="138" t="str">
        <f>IF(OR(Таблица182124[[#This Row],[Столбец1]]="",Таблица182124[[#This Row],[Столбец4]]="отсутствует"),"",INDEX(Лист2!$A$8:$O$179,MATCH(A57,Лист2!$B$8:$B$179,0),11))</f>
        <v/>
      </c>
      <c r="K57" s="138" t="str">
        <f>IF(OR(Таблица182124[[#This Row],[Столбец1]]="",Таблица182124[[#This Row],[Столбец4]]="отсутствует"),"",INDEX(Лист2!$A$8:$O$179,MATCH(A57,Лист2!$B$8:$B$179,0),12))</f>
        <v/>
      </c>
      <c r="L57" s="138" t="str">
        <f>IF(OR(Таблица182124[[#This Row],[Столбец1]]="",Таблица182124[[#This Row],[Столбец4]]="отсутствует"),"",INDEX(Лист2!$A$8:$O$179,MATCH(A57,Лист2!$B$8:$B$179,0),13))</f>
        <v/>
      </c>
      <c r="M57" s="138" t="str">
        <f>IF(OR(Таблица182124[[#This Row],[Столбец1]]="",Таблица182124[[#This Row],[Столбец4]]="отсутствует"),"",INDEX(Лист2!$A$8:$O$179,MATCH(A57,Лист2!$B$8:$B$179,0),14))</f>
        <v/>
      </c>
      <c r="N57" s="141" t="str">
        <f>IF(Таблица182124[[#This Row],[Столбец1]]="","",IF(INDEX(Лист2!$A$8:$O$179,MATCH(A57,Лист2!$B$8:$B$179,0),15)=0,"",INDEX(Лист2!$A$8:$O$179,MATCH(A57,Лист2!$B$8:$B$179,0),15)))</f>
        <v/>
      </c>
      <c r="O57" s="142"/>
    </row>
    <row r="58" spans="1:15" ht="15.75" x14ac:dyDescent="0.25">
      <c r="A58" s="137"/>
      <c r="B58" s="138" t="str">
        <f>IF(Таблица182124[[#This Row],[Столбец1]]="","",INDEX(Лист2!$A$8:$O$179,MATCH(A58,Лист2!$B$8:$B$179,0),3))</f>
        <v/>
      </c>
      <c r="C58" s="139" t="str">
        <f>IF(Таблица182124[[#This Row],[Столбец1]]="","",INDEX(Лист2!$A$8:$O$179,MATCH(A58,Лист2!$B$8:$B$179,0),4))</f>
        <v/>
      </c>
      <c r="D58" s="138" t="str">
        <f>IF(Таблица182124[[#This Row],[Столбец1]]="","",INDEX(Лист2!$A$8:$O$179,MATCH(A58,Лист2!$B$8:$B$179,0),5))</f>
        <v/>
      </c>
      <c r="E58" s="140" t="str">
        <f>IF(Таблица182124[[#This Row],[Столбец1]]="","",INDEX(Лист2!$A$8:$O$179,MATCH(A58,Лист2!$B$8:$B$179,0),6))</f>
        <v/>
      </c>
      <c r="F58" s="140" t="str">
        <f>IF(Таблица182124[[#This Row],[Столбец1]]="","",INDEX(Лист2!$A$8:$O$179,MATCH(A58,Лист2!$B$8:$B$179,0),7))</f>
        <v/>
      </c>
      <c r="G58" s="140" t="str">
        <f>IF(Таблица182124[[#This Row],[Столбец1]]="","",INDEX(Лист2!$A$8:$O$179,MATCH(A58,Лист2!$B$8:$B$179,0),8))</f>
        <v/>
      </c>
      <c r="H58" s="139" t="str">
        <f>IF(OR(Таблица182124[[#This Row],[Столбец1]]="",Таблица182124[[#This Row],[Столбец4]]="отсутствует"),"",INDEX(Лист2!$A$8:$O$179,MATCH(A58,Лист2!$B$8:$B$179,0),9))</f>
        <v/>
      </c>
      <c r="I58" s="138" t="str">
        <f>IF(OR(Таблица182124[[#This Row],[Столбец1]]="",Таблица182124[[#This Row],[Столбец4]]="отсутствует"),"",INDEX(Лист2!$A$8:$O$179,MATCH(A58,Лист2!$B$8:$B$179,0),10))</f>
        <v/>
      </c>
      <c r="J58" s="138" t="str">
        <f>IF(OR(Таблица182124[[#This Row],[Столбец1]]="",Таблица182124[[#This Row],[Столбец4]]="отсутствует"),"",INDEX(Лист2!$A$8:$O$179,MATCH(A58,Лист2!$B$8:$B$179,0),11))</f>
        <v/>
      </c>
      <c r="K58" s="138" t="str">
        <f>IF(OR(Таблица182124[[#This Row],[Столбец1]]="",Таблица182124[[#This Row],[Столбец4]]="отсутствует"),"",INDEX(Лист2!$A$8:$O$179,MATCH(A58,Лист2!$B$8:$B$179,0),12))</f>
        <v/>
      </c>
      <c r="L58" s="138" t="str">
        <f>IF(OR(Таблица182124[[#This Row],[Столбец1]]="",Таблица182124[[#This Row],[Столбец4]]="отсутствует"),"",INDEX(Лист2!$A$8:$O$179,MATCH(A58,Лист2!$B$8:$B$179,0),13))</f>
        <v/>
      </c>
      <c r="M58" s="138" t="str">
        <f>IF(OR(Таблица182124[[#This Row],[Столбец1]]="",Таблица182124[[#This Row],[Столбец4]]="отсутствует"),"",INDEX(Лист2!$A$8:$O$179,MATCH(A58,Лист2!$B$8:$B$179,0),14))</f>
        <v/>
      </c>
      <c r="N58" s="141" t="str">
        <f>IF(Таблица182124[[#This Row],[Столбец1]]="","",IF(INDEX(Лист2!$A$8:$O$179,MATCH(A58,Лист2!$B$8:$B$179,0),15)=0,"",INDEX(Лист2!$A$8:$O$179,MATCH(A58,Лист2!$B$8:$B$179,0),15)))</f>
        <v/>
      </c>
      <c r="O58" s="142"/>
    </row>
    <row r="59" spans="1:15" ht="15.75" x14ac:dyDescent="0.25">
      <c r="A59" s="137"/>
      <c r="B59" s="138" t="str">
        <f>IF(Таблица182124[[#This Row],[Столбец1]]="","",INDEX(Лист2!$A$8:$O$179,MATCH(A59,Лист2!$B$8:$B$179,0),3))</f>
        <v/>
      </c>
      <c r="C59" s="139" t="str">
        <f>IF(Таблица182124[[#This Row],[Столбец1]]="","",INDEX(Лист2!$A$8:$O$179,MATCH(A59,Лист2!$B$8:$B$179,0),4))</f>
        <v/>
      </c>
      <c r="D59" s="138" t="str">
        <f>IF(Таблица182124[[#This Row],[Столбец1]]="","",INDEX(Лист2!$A$8:$O$179,MATCH(A59,Лист2!$B$8:$B$179,0),5))</f>
        <v/>
      </c>
      <c r="E59" s="140" t="str">
        <f>IF(Таблица182124[[#This Row],[Столбец1]]="","",INDEX(Лист2!$A$8:$O$179,MATCH(A59,Лист2!$B$8:$B$179,0),6))</f>
        <v/>
      </c>
      <c r="F59" s="140" t="str">
        <f>IF(Таблица182124[[#This Row],[Столбец1]]="","",INDEX(Лист2!$A$8:$O$179,MATCH(A59,Лист2!$B$8:$B$179,0),7))</f>
        <v/>
      </c>
      <c r="G59" s="140" t="str">
        <f>IF(Таблица182124[[#This Row],[Столбец1]]="","",INDEX(Лист2!$A$8:$O$179,MATCH(A59,Лист2!$B$8:$B$179,0),8))</f>
        <v/>
      </c>
      <c r="H59" s="139" t="str">
        <f>IF(OR(Таблица182124[[#This Row],[Столбец1]]="",Таблица182124[[#This Row],[Столбец4]]="отсутствует"),"",INDEX(Лист2!$A$8:$O$179,MATCH(A59,Лист2!$B$8:$B$179,0),9))</f>
        <v/>
      </c>
      <c r="I59" s="138" t="str">
        <f>IF(OR(Таблица182124[[#This Row],[Столбец1]]="",Таблица182124[[#This Row],[Столбец4]]="отсутствует"),"",INDEX(Лист2!$A$8:$O$179,MATCH(A59,Лист2!$B$8:$B$179,0),10))</f>
        <v/>
      </c>
      <c r="J59" s="138" t="str">
        <f>IF(OR(Таблица182124[[#This Row],[Столбец1]]="",Таблица182124[[#This Row],[Столбец4]]="отсутствует"),"",INDEX(Лист2!$A$8:$O$179,MATCH(A59,Лист2!$B$8:$B$179,0),11))</f>
        <v/>
      </c>
      <c r="K59" s="138" t="str">
        <f>IF(OR(Таблица182124[[#This Row],[Столбец1]]="",Таблица182124[[#This Row],[Столбец4]]="отсутствует"),"",INDEX(Лист2!$A$8:$O$179,MATCH(A59,Лист2!$B$8:$B$179,0),12))</f>
        <v/>
      </c>
      <c r="L59" s="138" t="str">
        <f>IF(OR(Таблица182124[[#This Row],[Столбец1]]="",Таблица182124[[#This Row],[Столбец4]]="отсутствует"),"",INDEX(Лист2!$A$8:$O$179,MATCH(A59,Лист2!$B$8:$B$179,0),13))</f>
        <v/>
      </c>
      <c r="M59" s="138" t="str">
        <f>IF(OR(Таблица182124[[#This Row],[Столбец1]]="",Таблица182124[[#This Row],[Столбец4]]="отсутствует"),"",INDEX(Лист2!$A$8:$O$179,MATCH(A59,Лист2!$B$8:$B$179,0),14))</f>
        <v/>
      </c>
      <c r="N59" s="141" t="str">
        <f>IF(Таблица182124[[#This Row],[Столбец1]]="","",IF(INDEX(Лист2!$A$8:$O$179,MATCH(A59,Лист2!$B$8:$B$179,0),15)=0,"",INDEX(Лист2!$A$8:$O$179,MATCH(A59,Лист2!$B$8:$B$179,0),15)))</f>
        <v/>
      </c>
      <c r="O59" s="142"/>
    </row>
    <row r="60" spans="1:15" ht="15.75" x14ac:dyDescent="0.25">
      <c r="A60" s="137"/>
      <c r="B60" s="138" t="str">
        <f>IF(Таблица182124[[#This Row],[Столбец1]]="","",INDEX(Лист2!$A$8:$O$179,MATCH(A60,Лист2!$B$8:$B$179,0),3))</f>
        <v/>
      </c>
      <c r="C60" s="139" t="str">
        <f>IF(Таблица182124[[#This Row],[Столбец1]]="","",INDEX(Лист2!$A$8:$O$179,MATCH(A60,Лист2!$B$8:$B$179,0),4))</f>
        <v/>
      </c>
      <c r="D60" s="138" t="str">
        <f>IF(Таблица182124[[#This Row],[Столбец1]]="","",INDEX(Лист2!$A$8:$O$179,MATCH(A60,Лист2!$B$8:$B$179,0),5))</f>
        <v/>
      </c>
      <c r="E60" s="140" t="str">
        <f>IF(Таблица182124[[#This Row],[Столбец1]]="","",INDEX(Лист2!$A$8:$O$179,MATCH(A60,Лист2!$B$8:$B$179,0),6))</f>
        <v/>
      </c>
      <c r="F60" s="140" t="str">
        <f>IF(Таблица182124[[#This Row],[Столбец1]]="","",INDEX(Лист2!$A$8:$O$179,MATCH(A60,Лист2!$B$8:$B$179,0),7))</f>
        <v/>
      </c>
      <c r="G60" s="140" t="str">
        <f>IF(Таблица182124[[#This Row],[Столбец1]]="","",INDEX(Лист2!$A$8:$O$179,MATCH(A60,Лист2!$B$8:$B$179,0),8))</f>
        <v/>
      </c>
      <c r="H60" s="139" t="str">
        <f>IF(OR(Таблица182124[[#This Row],[Столбец1]]="",Таблица182124[[#This Row],[Столбец4]]="отсутствует"),"",INDEX(Лист2!$A$8:$O$179,MATCH(A60,Лист2!$B$8:$B$179,0),9))</f>
        <v/>
      </c>
      <c r="I60" s="138" t="str">
        <f>IF(OR(Таблица182124[[#This Row],[Столбец1]]="",Таблица182124[[#This Row],[Столбец4]]="отсутствует"),"",INDEX(Лист2!$A$8:$O$179,MATCH(A60,Лист2!$B$8:$B$179,0),10))</f>
        <v/>
      </c>
      <c r="J60" s="138" t="str">
        <f>IF(OR(Таблица182124[[#This Row],[Столбец1]]="",Таблица182124[[#This Row],[Столбец4]]="отсутствует"),"",INDEX(Лист2!$A$8:$O$179,MATCH(A60,Лист2!$B$8:$B$179,0),11))</f>
        <v/>
      </c>
      <c r="K60" s="138" t="str">
        <f>IF(OR(Таблица182124[[#This Row],[Столбец1]]="",Таблица182124[[#This Row],[Столбец4]]="отсутствует"),"",INDEX(Лист2!$A$8:$O$179,MATCH(A60,Лист2!$B$8:$B$179,0),12))</f>
        <v/>
      </c>
      <c r="L60" s="138" t="str">
        <f>IF(OR(Таблица182124[[#This Row],[Столбец1]]="",Таблица182124[[#This Row],[Столбец4]]="отсутствует"),"",INDEX(Лист2!$A$8:$O$179,MATCH(A60,Лист2!$B$8:$B$179,0),13))</f>
        <v/>
      </c>
      <c r="M60" s="138" t="str">
        <f>IF(OR(Таблица182124[[#This Row],[Столбец1]]="",Таблица182124[[#This Row],[Столбец4]]="отсутствует"),"",INDEX(Лист2!$A$8:$O$179,MATCH(A60,Лист2!$B$8:$B$179,0),14))</f>
        <v/>
      </c>
      <c r="N60" s="141" t="str">
        <f>IF(Таблица182124[[#This Row],[Столбец1]]="","",IF(INDEX(Лист2!$A$8:$O$179,MATCH(A60,Лист2!$B$8:$B$179,0),15)=0,"",INDEX(Лист2!$A$8:$O$179,MATCH(A60,Лист2!$B$8:$B$179,0),15)))</f>
        <v/>
      </c>
      <c r="O60" s="142"/>
    </row>
    <row r="61" spans="1:15" ht="15.75" x14ac:dyDescent="0.25">
      <c r="A61" s="137"/>
      <c r="B61" s="138" t="str">
        <f>IF(Таблица182124[[#This Row],[Столбец1]]="","",INDEX(Лист2!$A$8:$O$179,MATCH(A61,Лист2!$B$8:$B$179,0),3))</f>
        <v/>
      </c>
      <c r="C61" s="139" t="str">
        <f>IF(Таблица182124[[#This Row],[Столбец1]]="","",INDEX(Лист2!$A$8:$O$179,MATCH(A61,Лист2!$B$8:$B$179,0),4))</f>
        <v/>
      </c>
      <c r="D61" s="138" t="str">
        <f>IF(Таблица182124[[#This Row],[Столбец1]]="","",INDEX(Лист2!$A$8:$O$179,MATCH(A61,Лист2!$B$8:$B$179,0),5))</f>
        <v/>
      </c>
      <c r="E61" s="140" t="str">
        <f>IF(Таблица182124[[#This Row],[Столбец1]]="","",INDEX(Лист2!$A$8:$O$179,MATCH(A61,Лист2!$B$8:$B$179,0),6))</f>
        <v/>
      </c>
      <c r="F61" s="140" t="str">
        <f>IF(Таблица182124[[#This Row],[Столбец1]]="","",INDEX(Лист2!$A$8:$O$179,MATCH(A61,Лист2!$B$8:$B$179,0),7))</f>
        <v/>
      </c>
      <c r="G61" s="140" t="str">
        <f>IF(Таблица182124[[#This Row],[Столбец1]]="","",INDEX(Лист2!$A$8:$O$179,MATCH(A61,Лист2!$B$8:$B$179,0),8))</f>
        <v/>
      </c>
      <c r="H61" s="139" t="str">
        <f>IF(OR(Таблица182124[[#This Row],[Столбец1]]="",Таблица182124[[#This Row],[Столбец4]]="отсутствует"),"",INDEX(Лист2!$A$8:$O$179,MATCH(A61,Лист2!$B$8:$B$179,0),9))</f>
        <v/>
      </c>
      <c r="I61" s="138" t="str">
        <f>IF(OR(Таблица182124[[#This Row],[Столбец1]]="",Таблица182124[[#This Row],[Столбец4]]="отсутствует"),"",INDEX(Лист2!$A$8:$O$179,MATCH(A61,Лист2!$B$8:$B$179,0),10))</f>
        <v/>
      </c>
      <c r="J61" s="138" t="str">
        <f>IF(OR(Таблица182124[[#This Row],[Столбец1]]="",Таблица182124[[#This Row],[Столбец4]]="отсутствует"),"",INDEX(Лист2!$A$8:$O$179,MATCH(A61,Лист2!$B$8:$B$179,0),11))</f>
        <v/>
      </c>
      <c r="K61" s="138" t="str">
        <f>IF(OR(Таблица182124[[#This Row],[Столбец1]]="",Таблица182124[[#This Row],[Столбец4]]="отсутствует"),"",INDEX(Лист2!$A$8:$O$179,MATCH(A61,Лист2!$B$8:$B$179,0),12))</f>
        <v/>
      </c>
      <c r="L61" s="138" t="str">
        <f>IF(OR(Таблица182124[[#This Row],[Столбец1]]="",Таблица182124[[#This Row],[Столбец4]]="отсутствует"),"",INDEX(Лист2!$A$8:$O$179,MATCH(A61,Лист2!$B$8:$B$179,0),13))</f>
        <v/>
      </c>
      <c r="M61" s="138" t="str">
        <f>IF(OR(Таблица182124[[#This Row],[Столбец1]]="",Таблица182124[[#This Row],[Столбец4]]="отсутствует"),"",INDEX(Лист2!$A$8:$O$179,MATCH(A61,Лист2!$B$8:$B$179,0),14))</f>
        <v/>
      </c>
      <c r="N61" s="141" t="str">
        <f>IF(Таблица182124[[#This Row],[Столбец1]]="","",IF(INDEX(Лист2!$A$8:$O$179,MATCH(A61,Лист2!$B$8:$B$179,0),15)=0,"",INDEX(Лист2!$A$8:$O$179,MATCH(A61,Лист2!$B$8:$B$179,0),15)))</f>
        <v/>
      </c>
      <c r="O61" s="142"/>
    </row>
    <row r="62" spans="1:15" ht="16.5" thickBot="1" x14ac:dyDescent="0.3">
      <c r="A62" s="137"/>
      <c r="B62" s="138" t="str">
        <f>IF(Таблица182124[[#This Row],[Столбец1]]="","",INDEX(Лист2!$A$8:$O$179,MATCH(A62,Лист2!$B$8:$B$179,0),3))</f>
        <v/>
      </c>
      <c r="C62" s="139" t="str">
        <f>IF(Таблица182124[[#This Row],[Столбец1]]="","",INDEX(Лист2!$A$8:$O$179,MATCH(A62,Лист2!$B$8:$B$179,0),4))</f>
        <v/>
      </c>
      <c r="D62" s="138" t="str">
        <f>IF(Таблица182124[[#This Row],[Столбец1]]="","",INDEX(Лист2!$A$8:$O$179,MATCH(A62,Лист2!$B$8:$B$179,0),5))</f>
        <v/>
      </c>
      <c r="E62" s="140" t="str">
        <f>IF(Таблица182124[[#This Row],[Столбец1]]="","",INDEX(Лист2!$A$8:$O$179,MATCH(A62,Лист2!$B$8:$B$179,0),6))</f>
        <v/>
      </c>
      <c r="F62" s="140" t="str">
        <f>IF(Таблица182124[[#This Row],[Столбец1]]="","",INDEX(Лист2!$A$8:$O$179,MATCH(A62,Лист2!$B$8:$B$179,0),7))</f>
        <v/>
      </c>
      <c r="G62" s="140" t="str">
        <f>IF(Таблица182124[[#This Row],[Столбец1]]="","",INDEX(Лист2!$A$8:$O$179,MATCH(A62,Лист2!$B$8:$B$179,0),8))</f>
        <v/>
      </c>
      <c r="H62" s="139" t="str">
        <f>IF(OR(Таблица182124[[#This Row],[Столбец1]]="",Таблица182124[[#This Row],[Столбец4]]="отсутствует"),"",INDEX(Лист2!$A$8:$O$179,MATCH(A62,Лист2!$B$8:$B$179,0),9))</f>
        <v/>
      </c>
      <c r="I62" s="138" t="str">
        <f>IF(OR(Таблица182124[[#This Row],[Столбец1]]="",Таблица182124[[#This Row],[Столбец4]]="отсутствует"),"",INDEX(Лист2!$A$8:$O$179,MATCH(A62,Лист2!$B$8:$B$179,0),10))</f>
        <v/>
      </c>
      <c r="J62" s="138" t="str">
        <f>IF(OR(Таблица182124[[#This Row],[Столбец1]]="",Таблица182124[[#This Row],[Столбец4]]="отсутствует"),"",INDEX(Лист2!$A$8:$O$179,MATCH(A62,Лист2!$B$8:$B$179,0),11))</f>
        <v/>
      </c>
      <c r="K62" s="138" t="str">
        <f>IF(OR(Таблица182124[[#This Row],[Столбец1]]="",Таблица182124[[#This Row],[Столбец4]]="отсутствует"),"",INDEX(Лист2!$A$8:$O$179,MATCH(A62,Лист2!$B$8:$B$179,0),12))</f>
        <v/>
      </c>
      <c r="L62" s="138" t="str">
        <f>IF(OR(Таблица182124[[#This Row],[Столбец1]]="",Таблица182124[[#This Row],[Столбец4]]="отсутствует"),"",INDEX(Лист2!$A$8:$O$179,MATCH(A62,Лист2!$B$8:$B$179,0),13))</f>
        <v/>
      </c>
      <c r="M62" s="138" t="str">
        <f>IF(OR(Таблица182124[[#This Row],[Столбец1]]="",Таблица182124[[#This Row],[Столбец4]]="отсутствует"),"",INDEX(Лист2!$A$8:$O$179,MATCH(A62,Лист2!$B$8:$B$179,0),14))</f>
        <v/>
      </c>
      <c r="N62" s="141" t="str">
        <f>IF(Таблица182124[[#This Row],[Столбец1]]="","",IF(INDEX(Лист2!$A$8:$O$179,MATCH(A62,Лист2!$B$8:$B$179,0),15)=0,"",INDEX(Лист2!$A$8:$O$179,MATCH(A62,Лист2!$B$8:$B$179,0),15)))</f>
        <v/>
      </c>
      <c r="O62" s="142"/>
    </row>
    <row r="63" spans="1:15" ht="48" customHeight="1" thickBot="1" x14ac:dyDescent="0.3">
      <c r="A63" s="187" t="s">
        <v>306</v>
      </c>
      <c r="B63" s="188"/>
      <c r="C63" s="188"/>
      <c r="D63" s="188"/>
      <c r="E63" s="143">
        <f>SUM(E55:E62)</f>
        <v>0</v>
      </c>
      <c r="F63" s="143">
        <f>SUM(F55:F62)</f>
        <v>0</v>
      </c>
      <c r="G63" s="143">
        <f>SUM(G55:G62)</f>
        <v>0</v>
      </c>
      <c r="H63" s="144"/>
      <c r="I63" s="145"/>
      <c r="J63" s="145"/>
      <c r="K63" s="145"/>
      <c r="L63" s="145"/>
      <c r="M63" s="145"/>
      <c r="N63" s="146"/>
      <c r="O63" s="142"/>
    </row>
    <row r="64" spans="1:15" ht="15.75" x14ac:dyDescent="0.25">
      <c r="A64" s="137"/>
      <c r="B64" s="139" t="str">
        <f>IF(Таблица18212325[[#This Row],[Столбец1]]="","",INDEX(Лист2!$A$8:$O$179,MATCH(A64,Лист2!$B$8:$B$179,0),3))</f>
        <v/>
      </c>
      <c r="C64" s="139" t="str">
        <f>IF(Таблица18212325[[#This Row],[Столбец1]]="","",INDEX(Лист2!$A$8:$O$179,MATCH(A64,Лист2!$B$8:$B$179,0),4))</f>
        <v/>
      </c>
      <c r="D64" s="138" t="str">
        <f>IF(Таблица18212325[[#This Row],[Столбец1]]="","",INDEX(Лист2!$A$8:$O$179,MATCH(A64,Лист2!$B$8:$B$179,0),5))</f>
        <v/>
      </c>
      <c r="E64" s="140" t="str">
        <f>IF(Таблица18212325[[#This Row],[Столбец1]]="","",INDEX(Лист2!$A$8:$O$179,MATCH(A64,Лист2!$B$8:$B$179,0),6))</f>
        <v/>
      </c>
      <c r="F64" s="140" t="str">
        <f>IF(Таблица18212325[[#This Row],[Столбец1]]="","",INDEX(Лист2!$A$8:$O$179,MATCH(A64,Лист2!$B$8:$B$179,0),7))</f>
        <v/>
      </c>
      <c r="G64" s="140" t="str">
        <f>IF(Таблица18212325[[#This Row],[Столбец1]]="","",INDEX(Лист2!$A$8:$O$179,MATCH(A64,Лист2!$B$8:$B$179,0),8))</f>
        <v/>
      </c>
      <c r="H64" s="139" t="str">
        <f>IF(OR(Таблица18212325[[#This Row],[Столбец1]]="",Таблица18212325[[#This Row],[Столбец4]]="отсутствует"),"",INDEX(Лист2!$A$8:$O$179,MATCH(A64,Лист2!$B$8:$B$179,0),9))</f>
        <v/>
      </c>
      <c r="I64" s="138" t="str">
        <f>IF(OR(Таблица18212325[[#This Row],[Столбец1]]="",Таблица18212325[[#This Row],[Столбец4]]="отсутствует"),"",INDEX(Лист2!$A$8:$O$179,MATCH(A64,Лист2!$B$8:$B$179,0),10))</f>
        <v/>
      </c>
      <c r="J64" s="138" t="str">
        <f>IF(OR(Таблица18212325[[#This Row],[Столбец1]]="",Таблица18212325[[#This Row],[Столбец4]]="отсутствует"),"",INDEX(Лист2!$A$8:$O$179,MATCH(A64,Лист2!$B$8:$B$179,0),11))</f>
        <v/>
      </c>
      <c r="K64" s="138" t="str">
        <f>IF(OR(Таблица18212325[[#This Row],[Столбец1]]="",Таблица18212325[[#This Row],[Столбец4]]="отсутствует"),"",INDEX(Лист2!$A$8:$O$179,MATCH(A64,Лист2!$B$8:$B$179,0),12))</f>
        <v/>
      </c>
      <c r="L64" s="138" t="str">
        <f>IF(OR(Таблица18212325[[#This Row],[Столбец1]]="",Таблица18212325[[#This Row],[Столбец4]]="отсутствует"),"",INDEX(Лист2!$A$8:$O$179,MATCH(A64,Лист2!$B$8:$B$179,0),13))</f>
        <v/>
      </c>
      <c r="M64" s="138" t="str">
        <f>IF(OR(Таблица18212325[[#This Row],[Столбец1]]="",Таблица18212325[[#This Row],[Столбец4]]="отсутствует"),"",INDEX(Лист2!$A$8:$O$179,MATCH(A64,Лист2!$B$8:$B$179,0),14))</f>
        <v/>
      </c>
      <c r="N64" s="141" t="str">
        <f>IF(Таблица18212325[[#This Row],[Столбец1]]="","",IF(INDEX(Лист2!$A$8:$O$179,MATCH(A64,Лист2!$B$8:$B$179,0),15)=0,"",INDEX(Лист2!$A$8:$O$179,MATCH(A64,Лист2!$B$8:$B$179,0),15)))</f>
        <v/>
      </c>
      <c r="O64" s="142"/>
    </row>
    <row r="65" spans="1:15" ht="15.75" x14ac:dyDescent="0.25">
      <c r="A65" s="137"/>
      <c r="B65" s="138" t="str">
        <f>IF(Таблица18212325[[#This Row],[Столбец1]]="","",INDEX(Лист2!$A$8:$O$179,MATCH(A65,Лист2!$B$8:$B$179,0),3))</f>
        <v/>
      </c>
      <c r="C65" s="139" t="str">
        <f>IF(Таблица18212325[[#This Row],[Столбец1]]="","",INDEX(Лист2!$A$8:$O$179,MATCH(A65,Лист2!$B$8:$B$179,0),4))</f>
        <v/>
      </c>
      <c r="D65" s="138" t="str">
        <f>IF(Таблица18212325[[#This Row],[Столбец1]]="","",INDEX(Лист2!$A$8:$O$179,MATCH(A65,Лист2!$B$8:$B$179,0),5))</f>
        <v/>
      </c>
      <c r="E65" s="140" t="str">
        <f>IF(Таблица18212325[[#This Row],[Столбец1]]="","",INDEX(Лист2!$A$8:$O$179,MATCH(A65,Лист2!$B$8:$B$179,0),6))</f>
        <v/>
      </c>
      <c r="F65" s="140" t="str">
        <f>IF(Таблица18212325[[#This Row],[Столбец1]]="","",INDEX(Лист2!$A$8:$O$179,MATCH(A65,Лист2!$B$8:$B$179,0),7))</f>
        <v/>
      </c>
      <c r="G65" s="140" t="str">
        <f>IF(Таблица18212325[[#This Row],[Столбец1]]="","",INDEX(Лист2!$A$8:$O$179,MATCH(A65,Лист2!$B$8:$B$179,0),8))</f>
        <v/>
      </c>
      <c r="H65" s="139" t="str">
        <f>IF(OR(Таблица18212325[[#This Row],[Столбец1]]="",Таблица18212325[[#This Row],[Столбец4]]="отсутствует"),"",INDEX(Лист2!$A$8:$O$179,MATCH(A65,Лист2!$B$8:$B$179,0),9))</f>
        <v/>
      </c>
      <c r="I65" s="138" t="str">
        <f>IF(OR(Таблица18212325[[#This Row],[Столбец1]]="",Таблица18212325[[#This Row],[Столбец4]]="отсутствует"),"",INDEX(Лист2!$A$8:$O$179,MATCH(A65,Лист2!$B$8:$B$179,0),10))</f>
        <v/>
      </c>
      <c r="J65" s="138" t="str">
        <f>IF(OR(Таблица18212325[[#This Row],[Столбец1]]="",Таблица18212325[[#This Row],[Столбец4]]="отсутствует"),"",INDEX(Лист2!$A$8:$O$179,MATCH(A65,Лист2!$B$8:$B$179,0),11))</f>
        <v/>
      </c>
      <c r="K65" s="138" t="str">
        <f>IF(OR(Таблица18212325[[#This Row],[Столбец1]]="",Таблица18212325[[#This Row],[Столбец4]]="отсутствует"),"",INDEX(Лист2!$A$8:$O$179,MATCH(A65,Лист2!$B$8:$B$179,0),12))</f>
        <v/>
      </c>
      <c r="L65" s="138" t="str">
        <f>IF(OR(Таблица18212325[[#This Row],[Столбец1]]="",Таблица18212325[[#This Row],[Столбец4]]="отсутствует"),"",INDEX(Лист2!$A$8:$O$179,MATCH(A65,Лист2!$B$8:$B$179,0),13))</f>
        <v/>
      </c>
      <c r="M65" s="138" t="str">
        <f>IF(OR(Таблица18212325[[#This Row],[Столбец1]]="",Таблица18212325[[#This Row],[Столбец4]]="отсутствует"),"",INDEX(Лист2!$A$8:$O$179,MATCH(A65,Лист2!$B$8:$B$179,0),14))</f>
        <v/>
      </c>
      <c r="N65" s="141" t="str">
        <f>IF(Таблица18212325[[#This Row],[Столбец1]]="","",IF(INDEX(Лист2!$A$8:$O$179,MATCH(A65,Лист2!$B$8:$B$179,0),15)=0,"",INDEX(Лист2!$A$8:$O$179,MATCH(A65,Лист2!$B$8:$B$179,0),15)))</f>
        <v/>
      </c>
      <c r="O65" s="142"/>
    </row>
    <row r="66" spans="1:15" ht="15.75" x14ac:dyDescent="0.25">
      <c r="A66" s="124"/>
      <c r="B66" s="125" t="str">
        <f>IF(Таблица18212325[[#This Row],[Столбец1]]="","",INDEX(Лист2!$A$8:$O$179,MATCH(A66,Лист2!$B$8:$B$179,0),3))</f>
        <v/>
      </c>
      <c r="C66" s="126" t="str">
        <f>IF(Таблица18212325[[#This Row],[Столбец1]]="","",INDEX(Лист2!$A$8:$O$179,MATCH(A66,Лист2!$B$8:$B$179,0),4))</f>
        <v/>
      </c>
      <c r="D66" s="125" t="str">
        <f>IF(Таблица18212325[[#This Row],[Столбец1]]="","",INDEX(Лист2!$A$8:$O$179,MATCH(A66,Лист2!$B$8:$B$179,0),5))</f>
        <v/>
      </c>
      <c r="E66" s="127" t="str">
        <f>IF(Таблица18212325[[#This Row],[Столбец1]]="","",INDEX(Лист2!$A$8:$O$179,MATCH(A66,Лист2!$B$8:$B$179,0),6))</f>
        <v/>
      </c>
      <c r="F66" s="127" t="str">
        <f>IF(Таблица18212325[[#This Row],[Столбец1]]="","",INDEX(Лист2!$A$8:$O$179,MATCH(A66,Лист2!$B$8:$B$179,0),7))</f>
        <v/>
      </c>
      <c r="G66" s="127" t="str">
        <f>IF(Таблица18212325[[#This Row],[Столбец1]]="","",INDEX(Лист2!$A$8:$O$179,MATCH(A66,Лист2!$B$8:$B$179,0),8))</f>
        <v/>
      </c>
      <c r="H66" s="126" t="str">
        <f>IF(OR(Таблица18212325[[#This Row],[Столбец1]]="",Таблица18212325[[#This Row],[Столбец4]]="отсутствует"),"",INDEX(Лист2!$A$8:$O$179,MATCH(A66,Лист2!$B$8:$B$179,0),9))</f>
        <v/>
      </c>
      <c r="I66" s="125" t="str">
        <f>IF(OR(Таблица18212325[[#This Row],[Столбец1]]="",Таблица18212325[[#This Row],[Столбец4]]="отсутствует"),"",INDEX(Лист2!$A$8:$O$179,MATCH(A66,Лист2!$B$8:$B$179,0),10))</f>
        <v/>
      </c>
      <c r="J66" s="125" t="str">
        <f>IF(OR(Таблица18212325[[#This Row],[Столбец1]]="",Таблица18212325[[#This Row],[Столбец4]]="отсутствует"),"",INDEX(Лист2!$A$8:$O$179,MATCH(A66,Лист2!$B$8:$B$179,0),11))</f>
        <v/>
      </c>
      <c r="K66" s="125" t="str">
        <f>IF(OR(Таблица18212325[[#This Row],[Столбец1]]="",Таблица18212325[[#This Row],[Столбец4]]="отсутствует"),"",INDEX(Лист2!$A$8:$O$179,MATCH(A66,Лист2!$B$8:$B$179,0),12))</f>
        <v/>
      </c>
      <c r="L66" s="125" t="str">
        <f>IF(OR(Таблица18212325[[#This Row],[Столбец1]]="",Таблица18212325[[#This Row],[Столбец4]]="отсутствует"),"",INDEX(Лист2!$A$8:$O$179,MATCH(A66,Лист2!$B$8:$B$179,0),13))</f>
        <v/>
      </c>
      <c r="M66" s="125" t="str">
        <f>IF(OR(Таблица18212325[[#This Row],[Столбец1]]="",Таблица18212325[[#This Row],[Столбец4]]="отсутствует"),"",INDEX(Лист2!$A$8:$O$179,MATCH(A66,Лист2!$B$8:$B$179,0),14))</f>
        <v/>
      </c>
      <c r="N66" s="128" t="str">
        <f>IF(Таблица18212325[[#This Row],[Столбец1]]="","",IF(INDEX(Лист2!$A$8:$O$179,MATCH(A66,Лист2!$B$8:$B$179,0),15)=0,"",INDEX(Лист2!$A$8:$O$179,MATCH(A66,Лист2!$B$8:$B$179,0),15)))</f>
        <v/>
      </c>
      <c r="O66" s="142"/>
    </row>
    <row r="67" spans="1:15" ht="15.75" x14ac:dyDescent="0.25">
      <c r="A67" s="124"/>
      <c r="B67" s="125" t="str">
        <f>IF(Таблица18212325[[#This Row],[Столбец1]]="","",INDEX(Лист2!$A$8:$O$179,MATCH(A67,Лист2!$B$8:$B$179,0),3))</f>
        <v/>
      </c>
      <c r="C67" s="126" t="str">
        <f>IF(Таблица18212325[[#This Row],[Столбец1]]="","",INDEX(Лист2!$A$8:$O$179,MATCH(A67,Лист2!$B$8:$B$179,0),4))</f>
        <v/>
      </c>
      <c r="D67" s="125" t="str">
        <f>IF(Таблица18212325[[#This Row],[Столбец1]]="","",INDEX(Лист2!$A$8:$O$179,MATCH(A67,Лист2!$B$8:$B$179,0),5))</f>
        <v/>
      </c>
      <c r="E67" s="127" t="str">
        <f>IF(Таблица18212325[[#This Row],[Столбец1]]="","",INDEX(Лист2!$A$8:$O$179,MATCH(A67,Лист2!$B$8:$B$179,0),6))</f>
        <v/>
      </c>
      <c r="F67" s="127" t="str">
        <f>IF(Таблица18212325[[#This Row],[Столбец1]]="","",INDEX(Лист2!$A$8:$O$179,MATCH(A67,Лист2!$B$8:$B$179,0),7))</f>
        <v/>
      </c>
      <c r="G67" s="127" t="str">
        <f>IF(Таблица18212325[[#This Row],[Столбец1]]="","",INDEX(Лист2!$A$8:$O$179,MATCH(A67,Лист2!$B$8:$B$179,0),8))</f>
        <v/>
      </c>
      <c r="H67" s="126" t="str">
        <f>IF(OR(Таблица18212325[[#This Row],[Столбец1]]="",Таблица18212325[[#This Row],[Столбец4]]="отсутствует"),"",INDEX(Лист2!$A$8:$O$179,MATCH(A67,Лист2!$B$8:$B$179,0),9))</f>
        <v/>
      </c>
      <c r="I67" s="125" t="str">
        <f>IF(OR(Таблица18212325[[#This Row],[Столбец1]]="",Таблица18212325[[#This Row],[Столбец4]]="отсутствует"),"",INDEX(Лист2!$A$8:$O$179,MATCH(A67,Лист2!$B$8:$B$179,0),10))</f>
        <v/>
      </c>
      <c r="J67" s="125" t="str">
        <f>IF(OR(Таблица18212325[[#This Row],[Столбец1]]="",Таблица18212325[[#This Row],[Столбец4]]="отсутствует"),"",INDEX(Лист2!$A$8:$O$179,MATCH(A67,Лист2!$B$8:$B$179,0),11))</f>
        <v/>
      </c>
      <c r="K67" s="125" t="str">
        <f>IF(OR(Таблица18212325[[#This Row],[Столбец1]]="",Таблица18212325[[#This Row],[Столбец4]]="отсутствует"),"",INDEX(Лист2!$A$8:$O$179,MATCH(A67,Лист2!$B$8:$B$179,0),12))</f>
        <v/>
      </c>
      <c r="L67" s="125" t="str">
        <f>IF(OR(Таблица18212325[[#This Row],[Столбец1]]="",Таблица18212325[[#This Row],[Столбец4]]="отсутствует"),"",INDEX(Лист2!$A$8:$O$179,MATCH(A67,Лист2!$B$8:$B$179,0),13))</f>
        <v/>
      </c>
      <c r="M67" s="125" t="str">
        <f>IF(OR(Таблица18212325[[#This Row],[Столбец1]]="",Таблица18212325[[#This Row],[Столбец4]]="отсутствует"),"",INDEX(Лист2!$A$8:$O$179,MATCH(A67,Лист2!$B$8:$B$179,0),14))</f>
        <v/>
      </c>
      <c r="N67" s="128" t="str">
        <f>IF(Таблица18212325[[#This Row],[Столбец1]]="","",IF(INDEX(Лист2!$A$8:$O$179,MATCH(A67,Лист2!$B$8:$B$179,0),15)=0,"",INDEX(Лист2!$A$8:$O$179,MATCH(A67,Лист2!$B$8:$B$179,0),15)))</f>
        <v/>
      </c>
      <c r="O67" s="142"/>
    </row>
    <row r="68" spans="1:15" ht="15.75" x14ac:dyDescent="0.25">
      <c r="A68" s="124"/>
      <c r="B68" s="125" t="str">
        <f>IF(Таблица18212325[[#This Row],[Столбец1]]="","",INDEX(Лист2!$A$8:$O$179,MATCH(A68,Лист2!$B$8:$B$179,0),3))</f>
        <v/>
      </c>
      <c r="C68" s="126" t="str">
        <f>IF(Таблица18212325[[#This Row],[Столбец1]]="","",INDEX(Лист2!$A$8:$O$179,MATCH(A68,Лист2!$B$8:$B$179,0),4))</f>
        <v/>
      </c>
      <c r="D68" s="125" t="str">
        <f>IF(Таблица18212325[[#This Row],[Столбец1]]="","",INDEX(Лист2!$A$8:$O$179,MATCH(A68,Лист2!$B$8:$B$179,0),5))</f>
        <v/>
      </c>
      <c r="E68" s="127" t="str">
        <f>IF(Таблица18212325[[#This Row],[Столбец1]]="","",INDEX(Лист2!$A$8:$O$179,MATCH(A68,Лист2!$B$8:$B$179,0),6))</f>
        <v/>
      </c>
      <c r="F68" s="127" t="str">
        <f>IF(Таблица18212325[[#This Row],[Столбец1]]="","",INDEX(Лист2!$A$8:$O$179,MATCH(A68,Лист2!$B$8:$B$179,0),7))</f>
        <v/>
      </c>
      <c r="G68" s="127" t="str">
        <f>IF(Таблица18212325[[#This Row],[Столбец1]]="","",INDEX(Лист2!$A$8:$O$179,MATCH(A68,Лист2!$B$8:$B$179,0),8))</f>
        <v/>
      </c>
      <c r="H68" s="126" t="str">
        <f>IF(OR(Таблица18212325[[#This Row],[Столбец1]]="",Таблица18212325[[#This Row],[Столбец4]]="отсутствует"),"",INDEX(Лист2!$A$8:$O$179,MATCH(A68,Лист2!$B$8:$B$179,0),9))</f>
        <v/>
      </c>
      <c r="I68" s="125" t="str">
        <f>IF(OR(Таблица18212325[[#This Row],[Столбец1]]="",Таблица18212325[[#This Row],[Столбец4]]="отсутствует"),"",INDEX(Лист2!$A$8:$O$179,MATCH(A68,Лист2!$B$8:$B$179,0),10))</f>
        <v/>
      </c>
      <c r="J68" s="125" t="str">
        <f>IF(OR(Таблица18212325[[#This Row],[Столбец1]]="",Таблица18212325[[#This Row],[Столбец4]]="отсутствует"),"",INDEX(Лист2!$A$8:$O$179,MATCH(A68,Лист2!$B$8:$B$179,0),11))</f>
        <v/>
      </c>
      <c r="K68" s="125" t="str">
        <f>IF(OR(Таблица18212325[[#This Row],[Столбец1]]="",Таблица18212325[[#This Row],[Столбец4]]="отсутствует"),"",INDEX(Лист2!$A$8:$O$179,MATCH(A68,Лист2!$B$8:$B$179,0),12))</f>
        <v/>
      </c>
      <c r="L68" s="125" t="str">
        <f>IF(OR(Таблица18212325[[#This Row],[Столбец1]]="",Таблица18212325[[#This Row],[Столбец4]]="отсутствует"),"",INDEX(Лист2!$A$8:$O$179,MATCH(A68,Лист2!$B$8:$B$179,0),13))</f>
        <v/>
      </c>
      <c r="M68" s="125" t="str">
        <f>IF(OR(Таблица18212325[[#This Row],[Столбец1]]="",Таблица18212325[[#This Row],[Столбец4]]="отсутствует"),"",INDEX(Лист2!$A$8:$O$179,MATCH(A68,Лист2!$B$8:$B$179,0),14))</f>
        <v/>
      </c>
      <c r="N68" s="128" t="str">
        <f>IF(Таблица18212325[[#This Row],[Столбец1]]="","",IF(INDEX(Лист2!$A$8:$O$179,MATCH(A68,Лист2!$B$8:$B$179,0),15)=0,"",INDEX(Лист2!$A$8:$O$179,MATCH(A68,Лист2!$B$8:$B$179,0),15)))</f>
        <v/>
      </c>
      <c r="O68" s="142"/>
    </row>
    <row r="69" spans="1:15" ht="15.75" x14ac:dyDescent="0.25">
      <c r="A69" s="124"/>
      <c r="B69" s="125" t="str">
        <f>IF(Таблица18212325[[#This Row],[Столбец1]]="","",INDEX(Лист2!$A$8:$O$179,MATCH(A69,Лист2!$B$8:$B$179,0),3))</f>
        <v/>
      </c>
      <c r="C69" s="126" t="str">
        <f>IF(Таблица18212325[[#This Row],[Столбец1]]="","",INDEX(Лист2!$A$8:$O$179,MATCH(A69,Лист2!$B$8:$B$179,0),4))</f>
        <v/>
      </c>
      <c r="D69" s="125" t="str">
        <f>IF(Таблица18212325[[#This Row],[Столбец1]]="","",INDEX(Лист2!$A$8:$O$179,MATCH(A69,Лист2!$B$8:$B$179,0),5))</f>
        <v/>
      </c>
      <c r="E69" s="127" t="str">
        <f>IF(Таблица18212325[[#This Row],[Столбец1]]="","",INDEX(Лист2!$A$8:$O$179,MATCH(A69,Лист2!$B$8:$B$179,0),6))</f>
        <v/>
      </c>
      <c r="F69" s="127" t="str">
        <f>IF(Таблица18212325[[#This Row],[Столбец1]]="","",INDEX(Лист2!$A$8:$O$179,MATCH(A69,Лист2!$B$8:$B$179,0),7))</f>
        <v/>
      </c>
      <c r="G69" s="127" t="str">
        <f>IF(Таблица18212325[[#This Row],[Столбец1]]="","",INDEX(Лист2!$A$8:$O$179,MATCH(A69,Лист2!$B$8:$B$179,0),8))</f>
        <v/>
      </c>
      <c r="H69" s="126" t="str">
        <f>IF(OR(Таблица18212325[[#This Row],[Столбец1]]="",Таблица18212325[[#This Row],[Столбец4]]="отсутствует"),"",INDEX(Лист2!$A$8:$O$179,MATCH(A69,Лист2!$B$8:$B$179,0),9))</f>
        <v/>
      </c>
      <c r="I69" s="125" t="str">
        <f>IF(OR(Таблица18212325[[#This Row],[Столбец1]]="",Таблица18212325[[#This Row],[Столбец4]]="отсутствует"),"",INDEX(Лист2!$A$8:$O$179,MATCH(A69,Лист2!$B$8:$B$179,0),10))</f>
        <v/>
      </c>
      <c r="J69" s="125" t="str">
        <f>IF(OR(Таблица18212325[[#This Row],[Столбец1]]="",Таблица18212325[[#This Row],[Столбец4]]="отсутствует"),"",INDEX(Лист2!$A$8:$O$179,MATCH(A69,Лист2!$B$8:$B$179,0),11))</f>
        <v/>
      </c>
      <c r="K69" s="125" t="str">
        <f>IF(OR(Таблица18212325[[#This Row],[Столбец1]]="",Таблица18212325[[#This Row],[Столбец4]]="отсутствует"),"",INDEX(Лист2!$A$8:$O$179,MATCH(A69,Лист2!$B$8:$B$179,0),12))</f>
        <v/>
      </c>
      <c r="L69" s="125" t="str">
        <f>IF(OR(Таблица18212325[[#This Row],[Столбец1]]="",Таблица18212325[[#This Row],[Столбец4]]="отсутствует"),"",INDEX(Лист2!$A$8:$O$179,MATCH(A69,Лист2!$B$8:$B$179,0),13))</f>
        <v/>
      </c>
      <c r="M69" s="125" t="str">
        <f>IF(OR(Таблица18212325[[#This Row],[Столбец1]]="",Таблица18212325[[#This Row],[Столбец4]]="отсутствует"),"",INDEX(Лист2!$A$8:$O$179,MATCH(A69,Лист2!$B$8:$B$179,0),14))</f>
        <v/>
      </c>
      <c r="N69" s="128" t="str">
        <f>IF(Таблица18212325[[#This Row],[Столбец1]]="","",IF(INDEX(Лист2!$A$8:$O$179,MATCH(A69,Лист2!$B$8:$B$179,0),15)=0,"",INDEX(Лист2!$A$8:$O$179,MATCH(A69,Лист2!$B$8:$B$179,0),15)))</f>
        <v/>
      </c>
      <c r="O69" s="142"/>
    </row>
    <row r="70" spans="1:15" ht="15.75" x14ac:dyDescent="0.25">
      <c r="A70" s="124"/>
      <c r="B70" s="125" t="str">
        <f>IF(Таблица18212325[[#This Row],[Столбец1]]="","",INDEX(Лист2!$A$8:$O$179,MATCH(A70,Лист2!$B$8:$B$179,0),3))</f>
        <v/>
      </c>
      <c r="C70" s="126" t="str">
        <f>IF(Таблица18212325[[#This Row],[Столбец1]]="","",INDEX(Лист2!$A$8:$O$179,MATCH(A70,Лист2!$B$8:$B$179,0),4))</f>
        <v/>
      </c>
      <c r="D70" s="125" t="str">
        <f>IF(Таблица18212325[[#This Row],[Столбец1]]="","",INDEX(Лист2!$A$8:$O$179,MATCH(A70,Лист2!$B$8:$B$179,0),5))</f>
        <v/>
      </c>
      <c r="E70" s="127" t="str">
        <f>IF(Таблица18212325[[#This Row],[Столбец1]]="","",INDEX(Лист2!$A$8:$O$179,MATCH(A70,Лист2!$B$8:$B$179,0),6))</f>
        <v/>
      </c>
      <c r="F70" s="127" t="str">
        <f>IF(Таблица18212325[[#This Row],[Столбец1]]="","",INDEX(Лист2!$A$8:$O$179,MATCH(A70,Лист2!$B$8:$B$179,0),7))</f>
        <v/>
      </c>
      <c r="G70" s="127" t="str">
        <f>IF(Таблица18212325[[#This Row],[Столбец1]]="","",INDEX(Лист2!$A$8:$O$179,MATCH(A70,Лист2!$B$8:$B$179,0),8))</f>
        <v/>
      </c>
      <c r="H70" s="126" t="str">
        <f>IF(OR(Таблица18212325[[#This Row],[Столбец1]]="",Таблица18212325[[#This Row],[Столбец4]]="отсутствует"),"",INDEX(Лист2!$A$8:$O$179,MATCH(A70,Лист2!$B$8:$B$179,0),9))</f>
        <v/>
      </c>
      <c r="I70" s="125" t="str">
        <f>IF(OR(Таблица18212325[[#This Row],[Столбец1]]="",Таблица18212325[[#This Row],[Столбец4]]="отсутствует"),"",INDEX(Лист2!$A$8:$O$179,MATCH(A70,Лист2!$B$8:$B$179,0),10))</f>
        <v/>
      </c>
      <c r="J70" s="125" t="str">
        <f>IF(OR(Таблица18212325[[#This Row],[Столбец1]]="",Таблица18212325[[#This Row],[Столбец4]]="отсутствует"),"",INDEX(Лист2!$A$8:$O$179,MATCH(A70,Лист2!$B$8:$B$179,0),11))</f>
        <v/>
      </c>
      <c r="K70" s="125" t="str">
        <f>IF(OR(Таблица18212325[[#This Row],[Столбец1]]="",Таблица18212325[[#This Row],[Столбец4]]="отсутствует"),"",INDEX(Лист2!$A$8:$O$179,MATCH(A70,Лист2!$B$8:$B$179,0),12))</f>
        <v/>
      </c>
      <c r="L70" s="125" t="str">
        <f>IF(OR(Таблица18212325[[#This Row],[Столбец1]]="",Таблица18212325[[#This Row],[Столбец4]]="отсутствует"),"",INDEX(Лист2!$A$8:$O$179,MATCH(A70,Лист2!$B$8:$B$179,0),13))</f>
        <v/>
      </c>
      <c r="M70" s="125" t="str">
        <f>IF(OR(Таблица18212325[[#This Row],[Столбец1]]="",Таблица18212325[[#This Row],[Столбец4]]="отсутствует"),"",INDEX(Лист2!$A$8:$O$179,MATCH(A70,Лист2!$B$8:$B$179,0),14))</f>
        <v/>
      </c>
      <c r="N70" s="128" t="str">
        <f>IF(Таблица18212325[[#This Row],[Столбец1]]="","",IF(INDEX(Лист2!$A$8:$O$179,MATCH(A70,Лист2!$B$8:$B$179,0),15)=0,"",INDEX(Лист2!$A$8:$O$179,MATCH(A70,Лист2!$B$8:$B$179,0),15)))</f>
        <v/>
      </c>
      <c r="O70" s="142"/>
    </row>
    <row r="71" spans="1:15" ht="16.5" thickBot="1" x14ac:dyDescent="0.3">
      <c r="A71" s="124"/>
      <c r="B71" s="125" t="str">
        <f>IF(Таблица18212325[[#This Row],[Столбец1]]="","",INDEX(Лист2!$A$8:$O$179,MATCH(A71,Лист2!$B$8:$B$179,0),3))</f>
        <v/>
      </c>
      <c r="C71" s="126" t="str">
        <f>IF(Таблица18212325[[#This Row],[Столбец1]]="","",INDEX(Лист2!$A$8:$O$179,MATCH(A71,Лист2!$B$8:$B$179,0),4))</f>
        <v/>
      </c>
      <c r="D71" s="125" t="str">
        <f>IF(Таблица18212325[[#This Row],[Столбец1]]="","",INDEX(Лист2!$A$8:$O$179,MATCH(A71,Лист2!$B$8:$B$179,0),5))</f>
        <v/>
      </c>
      <c r="E71" s="127" t="str">
        <f>IF(Таблица18212325[[#This Row],[Столбец1]]="","",INDEX(Лист2!$A$8:$O$179,MATCH(A71,Лист2!$B$8:$B$179,0),6))</f>
        <v/>
      </c>
      <c r="F71" s="127" t="str">
        <f>IF(Таблица18212325[[#This Row],[Столбец1]]="","",INDEX(Лист2!$A$8:$O$179,MATCH(A71,Лист2!$B$8:$B$179,0),7))</f>
        <v/>
      </c>
      <c r="G71" s="127" t="str">
        <f>IF(Таблица18212325[[#This Row],[Столбец1]]="","",INDEX(Лист2!$A$8:$O$179,MATCH(A71,Лист2!$B$8:$B$179,0),8))</f>
        <v/>
      </c>
      <c r="H71" s="126" t="str">
        <f>IF(OR(Таблица18212325[[#This Row],[Столбец1]]="",Таблица18212325[[#This Row],[Столбец4]]="отсутствует"),"",INDEX(Лист2!$A$8:$O$179,MATCH(A71,Лист2!$B$8:$B$179,0),9))</f>
        <v/>
      </c>
      <c r="I71" s="125" t="str">
        <f>IF(OR(Таблица18212325[[#This Row],[Столбец1]]="",Таблица18212325[[#This Row],[Столбец4]]="отсутствует"),"",INDEX(Лист2!$A$8:$O$179,MATCH(A71,Лист2!$B$8:$B$179,0),10))</f>
        <v/>
      </c>
      <c r="J71" s="125" t="str">
        <f>IF(OR(Таблица18212325[[#This Row],[Столбец1]]="",Таблица18212325[[#This Row],[Столбец4]]="отсутствует"),"",INDEX(Лист2!$A$8:$O$179,MATCH(A71,Лист2!$B$8:$B$179,0),11))</f>
        <v/>
      </c>
      <c r="K71" s="125" t="str">
        <f>IF(OR(Таблица18212325[[#This Row],[Столбец1]]="",Таблица18212325[[#This Row],[Столбец4]]="отсутствует"),"",INDEX(Лист2!$A$8:$O$179,MATCH(A71,Лист2!$B$8:$B$179,0),12))</f>
        <v/>
      </c>
      <c r="L71" s="125" t="str">
        <f>IF(OR(Таблица18212325[[#This Row],[Столбец1]]="",Таблица18212325[[#This Row],[Столбец4]]="отсутствует"),"",INDEX(Лист2!$A$8:$O$179,MATCH(A71,Лист2!$B$8:$B$179,0),13))</f>
        <v/>
      </c>
      <c r="M71" s="125" t="str">
        <f>IF(OR(Таблица18212325[[#This Row],[Столбец1]]="",Таблица18212325[[#This Row],[Столбец4]]="отсутствует"),"",INDEX(Лист2!$A$8:$O$179,MATCH(A71,Лист2!$B$8:$B$179,0),14))</f>
        <v/>
      </c>
      <c r="N71" s="128" t="str">
        <f>IF(Таблица18212325[[#This Row],[Столбец1]]="","",IF(INDEX(Лист2!$A$8:$O$179,MATCH(A71,Лист2!$B$8:$B$179,0),15)=0,"",INDEX(Лист2!$A$8:$O$179,MATCH(A71,Лист2!$B$8:$B$179,0),15)))</f>
        <v/>
      </c>
      <c r="O71" s="142"/>
    </row>
    <row r="72" spans="1:15" ht="35.25" customHeight="1" thickBot="1" x14ac:dyDescent="0.3">
      <c r="A72" s="189" t="s">
        <v>307</v>
      </c>
      <c r="B72" s="190"/>
      <c r="C72" s="190"/>
      <c r="D72" s="190"/>
      <c r="E72" s="129">
        <f>SUBTOTAL(109,Таблица18212325[[#All],[Столбец5]])</f>
        <v>0</v>
      </c>
      <c r="F72" s="129">
        <f>SUBTOTAL(109,Таблица18212325[[#All],[Столбец6]])</f>
        <v>0</v>
      </c>
      <c r="G72" s="129">
        <f>SUBTOTAL(109,Таблица18212325[[#All],[Столбец7]])</f>
        <v>0</v>
      </c>
      <c r="H72" s="130"/>
      <c r="I72" s="131"/>
      <c r="J72" s="131"/>
      <c r="K72" s="131"/>
      <c r="L72" s="131"/>
      <c r="M72" s="131"/>
      <c r="N72" s="132"/>
      <c r="O72" s="142"/>
    </row>
    <row r="73" spans="1:15" ht="16.5" thickBot="1" x14ac:dyDescent="0.3">
      <c r="A73" s="191" t="s">
        <v>308</v>
      </c>
      <c r="B73" s="192"/>
      <c r="C73" s="192"/>
      <c r="D73" s="192"/>
      <c r="E73" s="133">
        <f>E18+E26+E31+E39+E43+E54+E63+E72</f>
        <v>17542.599999999999</v>
      </c>
      <c r="F73" s="133">
        <f>F18+F26+F31+F39+F43+F54+F63+F72</f>
        <v>2227.6999999999998</v>
      </c>
      <c r="G73" s="133">
        <f>G18+G26+G31+G39+G43+G54+G63+G72</f>
        <v>2227.6999999999998</v>
      </c>
      <c r="H73" s="134"/>
      <c r="I73" s="135"/>
      <c r="J73" s="135"/>
      <c r="K73" s="135"/>
      <c r="L73" s="135"/>
      <c r="M73" s="135"/>
      <c r="N73" s="136"/>
      <c r="O73" s="142"/>
    </row>
    <row r="74" spans="1:15" ht="15.75" x14ac:dyDescent="0.25">
      <c r="A74" s="117"/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42"/>
    </row>
    <row r="75" spans="1:15" x14ac:dyDescent="0.25">
      <c r="O75" s="142"/>
    </row>
    <row r="80" spans="1:15" ht="31.5" customHeight="1" x14ac:dyDescent="0.25"/>
    <row r="81" ht="33.75" customHeight="1" x14ac:dyDescent="0.25"/>
  </sheetData>
  <sheetProtection insertRows="0" deleteRows="0"/>
  <mergeCells count="31">
    <mergeCell ref="A54:D54"/>
    <mergeCell ref="A63:D63"/>
    <mergeCell ref="A72:D72"/>
    <mergeCell ref="A73:D73"/>
    <mergeCell ref="A26:D26"/>
    <mergeCell ref="A31:D31"/>
    <mergeCell ref="A39:D39"/>
    <mergeCell ref="A43:D43"/>
    <mergeCell ref="L10:M10"/>
    <mergeCell ref="A3:N3"/>
    <mergeCell ref="A2:N2"/>
    <mergeCell ref="A6:B6"/>
    <mergeCell ref="L6:M6"/>
    <mergeCell ref="L5:M5"/>
    <mergeCell ref="A7:G7"/>
    <mergeCell ref="A8:G8"/>
    <mergeCell ref="L9:M9"/>
    <mergeCell ref="L8:M8"/>
    <mergeCell ref="L7:M7"/>
    <mergeCell ref="A18:D18"/>
    <mergeCell ref="N12:N14"/>
    <mergeCell ref="E12:G13"/>
    <mergeCell ref="I13:I14"/>
    <mergeCell ref="J13:J14"/>
    <mergeCell ref="K13:M13"/>
    <mergeCell ref="H12:M12"/>
    <mergeCell ref="A12:A14"/>
    <mergeCell ref="B12:B14"/>
    <mergeCell ref="C12:C14"/>
    <mergeCell ref="D12:D14"/>
    <mergeCell ref="H13:H14"/>
  </mergeCells>
  <phoneticPr fontId="21" type="noConversion"/>
  <pageMargins left="0.23622047244094491" right="0.23622047244094491" top="0" bottom="0" header="0.31496062992125984" footer="0.31496062992125984"/>
  <pageSetup paperSize="9" scale="31" orientation="landscape" r:id="rId1"/>
  <rowBreaks count="3" manualBreakCount="3">
    <brk id="43" max="16383" man="1"/>
    <brk id="48" max="16383" man="1"/>
    <brk id="53" max="16383" man="1"/>
  </rowBreaks>
  <tableParts count="8">
    <tablePart r:id="rId2"/>
    <tablePart r:id="rId3"/>
    <tablePart r:id="rId4"/>
    <tablePart r:id="rId5"/>
    <tablePart r:id="rId6"/>
    <tablePart r:id="rId7"/>
    <tablePart r:id="rId8"/>
    <tablePart r:id="rId9"/>
  </tablePar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200-000000000000}">
          <x14:formula1>
            <xm:f>Справочники!$A$33:$A$42</xm:f>
          </x14:formula1>
          <xm:sqref>L10:M10</xm:sqref>
        </x14:dataValidation>
        <x14:dataValidation type="list" allowBlank="1" showInputMessage="1" showErrorMessage="1" xr:uid="{00000000-0002-0000-0200-000001000000}">
          <x14:formula1>
            <xm:f>Справочники!$B$33:$B$36</xm:f>
          </x14:formula1>
          <xm:sqref>L9:M9</xm:sqref>
        </x14:dataValidation>
        <x14:dataValidation type="list" allowBlank="1" showInputMessage="1" showErrorMessage="1" xr:uid="{00000000-0002-0000-0200-000002000000}">
          <x14:formula1>
            <xm:f>Лист2!$B$8:$B$179</xm:f>
          </x14:formula1>
          <xm:sqref>A15:A17</xm:sqref>
        </x14:dataValidation>
        <x14:dataValidation type="list" allowBlank="1" showInputMessage="1" showErrorMessage="1" xr:uid="{00000000-0002-0000-0200-000003000000}">
          <x14:formula1>
            <xm:f>Справочники!$B$45:$B$46</xm:f>
          </x14:formula1>
          <xm:sqref>N6</xm:sqref>
        </x14:dataValidation>
        <x14:dataValidation type="list" allowBlank="1" showInputMessage="1" showErrorMessage="1" xr:uid="{00000000-0002-0000-0200-000004000000}">
          <x14:formula1>
            <xm:f>'Р 1. "Общие сведения"'!$J$8:$J$179</xm:f>
          </x14:formula1>
          <xm:sqref>A19:A25 A27:A30 A32:A38 A40:A42 A55:A62 A64:A71 A44:A53</xm:sqref>
        </x14:dataValidation>
        <x14:dataValidation type="list" allowBlank="1" showInputMessage="1" showErrorMessage="1" xr:uid="{00000000-0002-0000-0200-000005000000}">
          <x14:formula1>
            <xm:f>Справочники!$B$3:$B$30</xm:f>
          </x14:formula1>
          <xm:sqref>A7:G7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5">
    <pageSetUpPr fitToPage="1"/>
  </sheetPr>
  <dimension ref="A1:P182"/>
  <sheetViews>
    <sheetView view="pageBreakPreview" topLeftCell="C10" zoomScale="80" zoomScaleNormal="60" zoomScaleSheetLayoutView="80" workbookViewId="0">
      <selection activeCell="C11" sqref="C11"/>
    </sheetView>
  </sheetViews>
  <sheetFormatPr defaultRowHeight="15" x14ac:dyDescent="0.25"/>
  <cols>
    <col min="1" max="1" width="0.85546875" style="4" hidden="1" customWidth="1"/>
    <col min="2" max="2" width="0.42578125" style="4" hidden="1" customWidth="1"/>
    <col min="3" max="3" width="32.28515625" style="4" customWidth="1"/>
    <col min="4" max="4" width="25.7109375" style="4" customWidth="1"/>
    <col min="5" max="5" width="17.7109375" style="4" customWidth="1"/>
    <col min="6" max="6" width="36.28515625" style="4" customWidth="1"/>
    <col min="7" max="7" width="40.140625" style="4" customWidth="1"/>
    <col min="8" max="8" width="18.85546875" style="11" customWidth="1"/>
    <col min="9" max="9" width="33.28515625" style="4" customWidth="1"/>
    <col min="10" max="10" width="18" style="4" customWidth="1"/>
    <col min="11" max="11" width="18.7109375" style="4" customWidth="1"/>
    <col min="12" max="12" width="21.42578125" style="4" bestFit="1" customWidth="1"/>
    <col min="13" max="13" width="22.7109375" style="4" customWidth="1"/>
    <col min="14" max="14" width="14.140625" style="4" customWidth="1"/>
    <col min="15" max="15" width="32" style="4" customWidth="1"/>
    <col min="16" max="16" width="30.7109375" style="4" customWidth="1"/>
    <col min="17" max="16384" width="9.140625" style="4"/>
  </cols>
  <sheetData>
    <row r="1" spans="1:16" ht="15.75" x14ac:dyDescent="0.25">
      <c r="C1" s="87"/>
      <c r="D1" s="87"/>
      <c r="E1" s="87"/>
      <c r="F1" s="87"/>
      <c r="G1" s="87"/>
      <c r="H1" s="88"/>
      <c r="I1" s="87"/>
      <c r="J1" s="87"/>
      <c r="K1" s="87"/>
      <c r="L1" s="87"/>
      <c r="M1" s="87"/>
      <c r="N1" s="87"/>
      <c r="O1" s="87"/>
      <c r="P1" s="87"/>
    </row>
    <row r="2" spans="1:16" ht="15.75" x14ac:dyDescent="0.25">
      <c r="C2" s="193" t="s">
        <v>112</v>
      </c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</row>
    <row r="3" spans="1:16" ht="15.75" x14ac:dyDescent="0.25">
      <c r="C3" s="194" t="s">
        <v>381</v>
      </c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</row>
    <row r="4" spans="1:16" ht="15.75" x14ac:dyDescent="0.25">
      <c r="C4" s="193" t="s">
        <v>113</v>
      </c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</row>
    <row r="5" spans="1:16" ht="15.75" x14ac:dyDescent="0.25">
      <c r="C5" s="87"/>
      <c r="D5" s="87"/>
      <c r="E5" s="87"/>
      <c r="F5" s="87"/>
      <c r="G5" s="87"/>
      <c r="H5" s="88"/>
      <c r="I5" s="87"/>
      <c r="J5" s="87"/>
      <c r="K5" s="87"/>
      <c r="L5" s="87"/>
      <c r="M5" s="87"/>
      <c r="N5" s="87"/>
      <c r="O5" s="87"/>
      <c r="P5" s="87"/>
    </row>
    <row r="6" spans="1:16" s="1" customFormat="1" ht="138.75" customHeight="1" x14ac:dyDescent="0.25">
      <c r="A6" s="1" t="s">
        <v>13</v>
      </c>
      <c r="B6" s="17" t="s">
        <v>120</v>
      </c>
      <c r="C6" s="89" t="s">
        <v>63</v>
      </c>
      <c r="D6" s="90" t="s">
        <v>267</v>
      </c>
      <c r="E6" s="91" t="s">
        <v>268</v>
      </c>
      <c r="F6" s="92" t="s">
        <v>140</v>
      </c>
      <c r="G6" s="92" t="s">
        <v>141</v>
      </c>
      <c r="H6" s="92" t="s">
        <v>146</v>
      </c>
      <c r="I6" s="93" t="s">
        <v>139</v>
      </c>
      <c r="J6" s="93" t="s">
        <v>269</v>
      </c>
      <c r="K6" s="92" t="s">
        <v>142</v>
      </c>
      <c r="L6" s="91" t="s">
        <v>270</v>
      </c>
      <c r="M6" s="91" t="s">
        <v>271</v>
      </c>
      <c r="N6" s="91" t="s">
        <v>272</v>
      </c>
      <c r="O6" s="91" t="s">
        <v>121</v>
      </c>
      <c r="P6" s="94" t="s">
        <v>65</v>
      </c>
    </row>
    <row r="7" spans="1:16" ht="15.75" hidden="1" x14ac:dyDescent="0.25">
      <c r="A7" s="4" t="s">
        <v>275</v>
      </c>
      <c r="B7" s="4" t="s">
        <v>276</v>
      </c>
      <c r="C7" s="4" t="s">
        <v>277</v>
      </c>
      <c r="D7" s="87"/>
      <c r="E7" s="87"/>
      <c r="F7" s="88"/>
      <c r="G7" s="88"/>
      <c r="H7" s="88"/>
      <c r="I7" s="154"/>
      <c r="J7" s="154"/>
      <c r="K7" s="155"/>
      <c r="L7" s="87" t="b">
        <f>IF(A7="Аппарат Губернатора и Правительства Оренбургской области",Справочники!D4,IF(A7="Министерство здравоохранения Оренбургской области",Справочники!D5,IF(A7="Министерство социального развития Оренбургской области",Справочники!D6,IF(A7="Министерство культуры Оренбургской области",Справочники!D8,IF(A7="Министерство физической культуры и спорта Оренбургской области",Справочники!D9,IF(A7="Министерство образования Оренбургской области",Справочники!D10,IF(A7="Министерство природных ресурсов, экологии и имущественных отношений Оренбургской области",Справочники!D11,IF(A7="Министерство сельского хозяйства, торговли, пищевой и перерабатывающей промышленности Оренбургской области",Справочники!D12,IF(A7="Министерство строительства, жилищно-коммунального, дорожного хозяйства и транспорта Оренбургской области",Справочники!D13,IF(A7="Министерство труда и занятости населения Оренбургской области",Справочники!D14,IF(A7="Министерство финансов Оренбургской области",Справочники!D15,IF(A7="Министерство внутреннего государственного финансового контроля Оренбургской области",Справочники!D30,IF(A7="Министерство экономического развития, инвестиций, туризма и внешних связей Оренбургской области",Справочники!D16,IF(A7="Департамент Оренбургской области по ценам и регулированию тарифов",Справочники!D20,IF(A7="Департамент пожарной безопасности и гражданской защиты Оренбургской области",Справочники!D22,IF(A7="Департамент молодежной политики Оренбургской области",Справочники!D21,IF(A7="Департамент информационных технологий Оренбургской области",Справочники!D18,IF(A7="Государственная жилищная инспекция по Оренбургской области",Справочники!D23,IF(A7="Инспекция государственного строительного надзора Оренбургской области",Справочники!D24,IF(A7="Комитет по обеспечению деятельности мировых судей Оренбургской области",Справочники!D26,IF(A7="Комитет по вопросам записи актов гражданского состояния Оренбургской области",Справочники!D27,IF(A7="Комитет по делам архивов Оренбургской области",Справочники!D28,IF(A7="Инспекция государственной охраны объектов культурного наследия Оренбургской области",Справочники!D25,IF(A7="Комитет по профилактике коррупционных правонарушений Оренбургской области",Справочники!D29,IF(A7="Министерство промышленности и энергетики Оренбургской области",Справочники!D17)))))))))))))))))))))))))</f>
        <v>0</v>
      </c>
      <c r="M7" s="87"/>
      <c r="N7" s="87"/>
      <c r="O7" s="87"/>
      <c r="P7" s="87"/>
    </row>
    <row r="8" spans="1:16" ht="267.75" x14ac:dyDescent="0.25">
      <c r="A8" s="4">
        <f>IF(I8="","",1)</f>
        <v>1</v>
      </c>
      <c r="B8" s="4" t="str">
        <f>IF(AND(A8=1,'План инф-ции (титул)'!$N$6&lt;&gt;""),"001П","001")</f>
        <v>001П</v>
      </c>
      <c r="D8" s="107" t="s">
        <v>361</v>
      </c>
      <c r="E8" s="70"/>
      <c r="F8" s="71" t="s">
        <v>72</v>
      </c>
      <c r="G8" s="71" t="s">
        <v>72</v>
      </c>
      <c r="H8" s="71" t="s">
        <v>68</v>
      </c>
      <c r="I8" s="71" t="str">
        <f t="shared" ref="I8:I14" si="0">CONCATENATE(H8," ",D8)</f>
        <v>Эксплуатация Связь и Интернет</v>
      </c>
      <c r="J8" s="70" t="str">
        <f>IF(OR(H8="",I8="",D8="",F8="",G8=""),"",CONCATENATE('План инф-ции (титул)'!$P$6,".",LEFT(H8,1),".",B8))</f>
        <v>818.Э.001П</v>
      </c>
      <c r="K8" s="70" t="s">
        <v>74</v>
      </c>
      <c r="L8" s="105" t="s">
        <v>388</v>
      </c>
      <c r="M8" s="107" t="s">
        <v>389</v>
      </c>
      <c r="N8" s="71"/>
      <c r="O8" s="71"/>
      <c r="P8" s="71"/>
    </row>
    <row r="9" spans="1:16" ht="267.75" x14ac:dyDescent="0.25">
      <c r="A9" s="4">
        <f t="shared" ref="A9:A40" si="1">IF(I9="","",A8+1)</f>
        <v>2</v>
      </c>
      <c r="B9" s="4" t="str">
        <f>IF(AND(A9=2,'План инф-ции (титул)'!$N$6&lt;&gt;""),"002П","002")</f>
        <v>002П</v>
      </c>
      <c r="D9" s="107" t="s">
        <v>385</v>
      </c>
      <c r="E9" s="70"/>
      <c r="F9" s="71" t="s">
        <v>72</v>
      </c>
      <c r="G9" s="71" t="s">
        <v>72</v>
      </c>
      <c r="H9" s="71" t="s">
        <v>68</v>
      </c>
      <c r="I9" s="71" t="str">
        <f t="shared" si="0"/>
        <v>Эксплуатация Оргтехника</v>
      </c>
      <c r="J9" s="70" t="str">
        <f>IF(OR(H9="",I9="",D9="",F9="",G9=""),"",CONCATENATE('План инф-ции (титул)'!$P$6,".",LEFT(H9,1),".",B9))</f>
        <v>818.Э.002П</v>
      </c>
      <c r="K9" s="70" t="s">
        <v>74</v>
      </c>
      <c r="L9" s="105" t="s">
        <v>388</v>
      </c>
      <c r="M9" s="107" t="s">
        <v>389</v>
      </c>
      <c r="N9" s="71"/>
      <c r="O9" s="71"/>
      <c r="P9" s="71"/>
    </row>
    <row r="10" spans="1:16" ht="267.75" x14ac:dyDescent="0.25">
      <c r="A10" s="4">
        <f t="shared" si="1"/>
        <v>3</v>
      </c>
      <c r="B10" s="4" t="str">
        <f>IF(AND(A10=3,'План инф-ции (титул)'!$N$6&lt;&gt;""),"003П","003")</f>
        <v>003П</v>
      </c>
      <c r="D10" s="107" t="s">
        <v>386</v>
      </c>
      <c r="E10" s="70"/>
      <c r="F10" s="71" t="s">
        <v>72</v>
      </c>
      <c r="G10" s="71" t="s">
        <v>72</v>
      </c>
      <c r="H10" s="71" t="s">
        <v>68</v>
      </c>
      <c r="I10" s="71" t="str">
        <f t="shared" si="0"/>
        <v>Эксплуатация Программное обеспечение</v>
      </c>
      <c r="J10" s="70" t="str">
        <f>IF(OR(H10="",I10="",D10="",F10="",G10=""),"",CONCATENATE('План инф-ции (титул)'!$P$6,".",LEFT(H10,1),".",B10))</f>
        <v>818.Э.003П</v>
      </c>
      <c r="K10" s="70" t="s">
        <v>74</v>
      </c>
      <c r="L10" s="105" t="s">
        <v>388</v>
      </c>
      <c r="M10" s="107" t="s">
        <v>389</v>
      </c>
      <c r="N10" s="71"/>
      <c r="O10" s="71"/>
      <c r="P10" s="71"/>
    </row>
    <row r="11" spans="1:16" ht="267.75" x14ac:dyDescent="0.25">
      <c r="A11" s="4">
        <f t="shared" si="1"/>
        <v>4</v>
      </c>
      <c r="B11" s="4" t="str">
        <f>IF(AND(A11=4,'План инф-ции (титул)'!$N$6&lt;&gt;""),"004П","004")</f>
        <v>004П</v>
      </c>
      <c r="D11" s="156" t="s">
        <v>387</v>
      </c>
      <c r="E11" s="70"/>
      <c r="F11" s="71" t="s">
        <v>72</v>
      </c>
      <c r="G11" s="71" t="s">
        <v>72</v>
      </c>
      <c r="H11" s="71" t="s">
        <v>68</v>
      </c>
      <c r="I11" s="71" t="str">
        <f t="shared" si="0"/>
        <v>Эксплуатация Антивирусное программное обеспечение</v>
      </c>
      <c r="J11" s="70" t="str">
        <f>IF(OR(H11="",I11="",D11="",F11="",G11=""),"",CONCATENATE('План инф-ции (титул)'!$P$6,".",LEFT(H11,1),".",B11))</f>
        <v>818.Э.004П</v>
      </c>
      <c r="K11" s="70" t="s">
        <v>74</v>
      </c>
      <c r="L11" s="105" t="s">
        <v>388</v>
      </c>
      <c r="M11" s="107" t="s">
        <v>389</v>
      </c>
      <c r="N11" s="71"/>
      <c r="O11" s="71"/>
      <c r="P11" s="71"/>
    </row>
    <row r="12" spans="1:16" ht="267.75" x14ac:dyDescent="0.25">
      <c r="A12" s="4">
        <f t="shared" si="1"/>
        <v>5</v>
      </c>
      <c r="B12" s="4" t="str">
        <f>IF(AND(A12=5,'План инф-ции (титул)'!$N$6&lt;&gt;""),"005П","005")</f>
        <v>005П</v>
      </c>
      <c r="D12" s="100" t="s">
        <v>418</v>
      </c>
      <c r="E12" s="70"/>
      <c r="F12" s="71" t="s">
        <v>72</v>
      </c>
      <c r="G12" s="71" t="s">
        <v>72</v>
      </c>
      <c r="H12" s="71" t="s">
        <v>68</v>
      </c>
      <c r="I12" s="71" t="str">
        <f t="shared" si="0"/>
        <v>Эксплуатация Государственная информационная система "Архивы Оренбургской области"</v>
      </c>
      <c r="J12" s="70" t="str">
        <f>IF(OR(H12="",I12="",D12="",F12="",G12=""),"",CONCATENATE('План инф-ции (титул)'!$P$6,".",LEFT(H12,1),".",B12))</f>
        <v>818.Э.005П</v>
      </c>
      <c r="K12" s="70" t="s">
        <v>74</v>
      </c>
      <c r="L12" s="105" t="s">
        <v>388</v>
      </c>
      <c r="M12" s="107" t="s">
        <v>389</v>
      </c>
      <c r="N12" s="71"/>
      <c r="O12" s="71"/>
      <c r="P12" s="71"/>
    </row>
    <row r="13" spans="1:16" ht="267.75" x14ac:dyDescent="0.25">
      <c r="A13" s="4">
        <f t="shared" si="1"/>
        <v>6</v>
      </c>
      <c r="B13" s="4" t="str">
        <f>IF(AND(A13=6,'План инф-ции (титул)'!$N$6&lt;&gt;""),"006П","006")</f>
        <v>006П</v>
      </c>
      <c r="D13" s="100" t="s">
        <v>419</v>
      </c>
      <c r="E13" s="70"/>
      <c r="F13" s="71" t="s">
        <v>70</v>
      </c>
      <c r="G13" s="71" t="s">
        <v>70</v>
      </c>
      <c r="H13" s="71" t="s">
        <v>67</v>
      </c>
      <c r="I13" s="71" t="str">
        <f t="shared" si="0"/>
        <v xml:space="preserve">Создание COM-система, проявочная машина Unomat с расходными материалами </v>
      </c>
      <c r="J13" s="70" t="str">
        <f>IF(OR(H13="",I13="",D13="",F13="",G13=""),"",CONCATENATE('План инф-ции (титул)'!$P$6,".",LEFT(H13,1),".",B13))</f>
        <v>818.С.006П</v>
      </c>
      <c r="K13" s="70" t="s">
        <v>74</v>
      </c>
      <c r="L13" s="105" t="s">
        <v>388</v>
      </c>
      <c r="M13" s="107" t="s">
        <v>389</v>
      </c>
      <c r="N13" s="71"/>
      <c r="O13" s="71"/>
      <c r="P13" s="71"/>
    </row>
    <row r="14" spans="1:16" ht="267.75" x14ac:dyDescent="0.25">
      <c r="A14" s="4">
        <f t="shared" si="1"/>
        <v>7</v>
      </c>
      <c r="B14" s="4" t="str">
        <f>IF(AND(A14=7,'План инф-ции (титул)'!$N$6&lt;&gt;""),"007П","007")</f>
        <v>007П</v>
      </c>
      <c r="D14" s="69" t="s">
        <v>407</v>
      </c>
      <c r="E14" s="70"/>
      <c r="F14" s="71" t="s">
        <v>70</v>
      </c>
      <c r="G14" s="71" t="s">
        <v>70</v>
      </c>
      <c r="H14" s="71" t="s">
        <v>67</v>
      </c>
      <c r="I14" s="71" t="str">
        <f t="shared" si="0"/>
        <v>Создание АРМ, оборудование для ЛВС</v>
      </c>
      <c r="J14" s="70" t="str">
        <f>IF(OR(H14="",I14="",D14="",F14="",G14=""),"",CONCATENATE('План инф-ции (титул)'!$P$6,".",LEFT(H14,1),".",B14))</f>
        <v>818.С.007П</v>
      </c>
      <c r="K14" s="70" t="s">
        <v>74</v>
      </c>
      <c r="L14" s="105" t="s">
        <v>388</v>
      </c>
      <c r="M14" s="107" t="s">
        <v>389</v>
      </c>
      <c r="N14" s="71"/>
      <c r="O14" s="71"/>
      <c r="P14" s="71"/>
    </row>
    <row r="15" spans="1:16" ht="15.75" x14ac:dyDescent="0.25">
      <c r="A15" s="4" t="str">
        <f t="shared" si="1"/>
        <v/>
      </c>
      <c r="B15" s="4" t="str">
        <f>IF(AND(A15=8,'План инф-ции (титул)'!$N$6&lt;&gt;""),"008П","008")</f>
        <v>008</v>
      </c>
      <c r="D15" s="72"/>
      <c r="E15" s="70"/>
      <c r="F15" s="71"/>
      <c r="G15" s="71"/>
      <c r="H15" s="71"/>
      <c r="I15" s="71"/>
      <c r="J15" s="70"/>
      <c r="K15" s="70"/>
      <c r="L15" s="153"/>
      <c r="M15" s="71"/>
      <c r="N15" s="71"/>
      <c r="O15" s="71"/>
      <c r="P15" s="70"/>
    </row>
    <row r="16" spans="1:16" ht="15.75" x14ac:dyDescent="0.25">
      <c r="A16" s="4" t="str">
        <f t="shared" si="1"/>
        <v/>
      </c>
      <c r="B16" s="4" t="str">
        <f>IF(AND(A16=9,'План инф-ции (титул)'!$N$6&lt;&gt;""),"009П","009")</f>
        <v>009</v>
      </c>
      <c r="D16" s="73"/>
      <c r="E16" s="70"/>
      <c r="F16" s="71"/>
      <c r="G16" s="71"/>
      <c r="H16" s="71"/>
      <c r="I16" s="71"/>
      <c r="J16" s="70"/>
      <c r="K16" s="70"/>
      <c r="L16" s="153"/>
      <c r="M16" s="74"/>
      <c r="N16" s="71"/>
      <c r="O16" s="71"/>
      <c r="P16" s="71"/>
    </row>
    <row r="17" spans="1:16" ht="15.75" x14ac:dyDescent="0.25">
      <c r="A17" s="4" t="str">
        <f t="shared" si="1"/>
        <v/>
      </c>
      <c r="B17" s="4" t="str">
        <f>IF(AND(A17=10,'План инф-ции (титул)'!$N$6&lt;&gt;""),"010П","010")</f>
        <v>010</v>
      </c>
      <c r="D17" s="73"/>
      <c r="E17" s="70"/>
      <c r="F17" s="71"/>
      <c r="G17" s="71"/>
      <c r="H17" s="71"/>
      <c r="I17" s="71"/>
      <c r="J17" s="70"/>
      <c r="K17" s="70"/>
      <c r="L17" s="153"/>
      <c r="M17" s="74"/>
      <c r="N17" s="71"/>
      <c r="O17" s="71"/>
      <c r="P17" s="71"/>
    </row>
    <row r="18" spans="1:16" ht="15.75" x14ac:dyDescent="0.25">
      <c r="A18" s="4" t="str">
        <f t="shared" si="1"/>
        <v/>
      </c>
      <c r="B18" s="4" t="str">
        <f>IF(AND(A18=11,'План инф-ции (титул)'!$N$6&lt;&gt;""),"011П","011")</f>
        <v>011</v>
      </c>
      <c r="D18" s="73"/>
      <c r="E18" s="70"/>
      <c r="F18" s="71"/>
      <c r="G18" s="71"/>
      <c r="H18" s="71"/>
      <c r="I18" s="71"/>
      <c r="J18" s="70"/>
      <c r="K18" s="70"/>
      <c r="L18" s="75"/>
      <c r="M18" s="74"/>
      <c r="N18" s="71"/>
      <c r="O18" s="71"/>
      <c r="P18" s="71"/>
    </row>
    <row r="19" spans="1:16" ht="15.75" x14ac:dyDescent="0.25">
      <c r="A19" s="4" t="str">
        <f t="shared" si="1"/>
        <v/>
      </c>
      <c r="B19" s="4" t="str">
        <f>IF(AND(A19=12,'План инф-ции (титул)'!$N$6&lt;&gt;""),"012П","012")</f>
        <v>012</v>
      </c>
      <c r="D19" s="69"/>
      <c r="E19" s="70"/>
      <c r="F19" s="71"/>
      <c r="G19" s="71"/>
      <c r="H19" s="71"/>
      <c r="I19" s="71"/>
      <c r="J19" s="70"/>
      <c r="K19" s="9"/>
      <c r="L19" s="153"/>
      <c r="M19" s="74"/>
      <c r="N19" s="71"/>
      <c r="O19" s="71"/>
      <c r="P19" s="71"/>
    </row>
    <row r="20" spans="1:16" ht="15.75" x14ac:dyDescent="0.25">
      <c r="A20" s="4" t="str">
        <f t="shared" si="1"/>
        <v/>
      </c>
      <c r="B20" s="4" t="str">
        <f>IF(AND(A20=13,'План инф-ции (титул)'!$N$6&lt;&gt;""),"013П","013")</f>
        <v>013</v>
      </c>
      <c r="D20" s="76"/>
      <c r="E20" s="70"/>
      <c r="F20" s="71"/>
      <c r="G20" s="71"/>
      <c r="H20" s="71"/>
      <c r="I20" s="71"/>
      <c r="J20" s="70"/>
      <c r="K20" s="9"/>
      <c r="L20" s="153"/>
      <c r="M20" s="71"/>
      <c r="N20" s="71"/>
      <c r="O20" s="71"/>
      <c r="P20" s="77"/>
    </row>
    <row r="21" spans="1:16" ht="15.75" x14ac:dyDescent="0.25">
      <c r="A21" s="4" t="str">
        <f t="shared" si="1"/>
        <v/>
      </c>
      <c r="B21" s="4" t="str">
        <f>IF(AND(A21=14,'План инф-ции (титул)'!$N$6&lt;&gt;""),"014П","014")</f>
        <v>014</v>
      </c>
      <c r="D21" s="69"/>
      <c r="E21" s="78"/>
      <c r="F21" s="71"/>
      <c r="G21" s="71"/>
      <c r="H21" s="71"/>
      <c r="I21" s="71"/>
      <c r="J21" s="70"/>
      <c r="K21" s="9"/>
      <c r="L21" s="153"/>
      <c r="M21" s="71"/>
      <c r="N21" s="71"/>
      <c r="O21" s="71"/>
      <c r="P21" s="8"/>
    </row>
    <row r="22" spans="1:16" ht="15.75" x14ac:dyDescent="0.25">
      <c r="A22" s="4" t="str">
        <f t="shared" si="1"/>
        <v/>
      </c>
      <c r="B22" s="4" t="str">
        <f>IF(AND(A22=15,'План инф-ции (титул)'!$N$6&lt;&gt;""),"015П","015")</f>
        <v>015</v>
      </c>
      <c r="D22" s="69"/>
      <c r="E22" s="78"/>
      <c r="F22" s="71"/>
      <c r="G22" s="71"/>
      <c r="H22" s="71"/>
      <c r="I22" s="71"/>
      <c r="J22" s="70"/>
      <c r="K22" s="9"/>
      <c r="L22" s="153"/>
      <c r="M22" s="74"/>
      <c r="N22" s="71"/>
      <c r="O22" s="71"/>
      <c r="P22" s="8"/>
    </row>
    <row r="23" spans="1:16" ht="15.75" x14ac:dyDescent="0.25">
      <c r="A23" s="4" t="str">
        <f t="shared" si="1"/>
        <v/>
      </c>
      <c r="B23" s="4" t="str">
        <f>IF(AND(A23=16,'План инф-ции (титул)'!$N$6&lt;&gt;""),"016П","016")</f>
        <v>016</v>
      </c>
      <c r="D23" s="79"/>
      <c r="E23" s="80"/>
      <c r="F23" s="71"/>
      <c r="G23" s="71"/>
      <c r="H23" s="71"/>
      <c r="I23" s="71"/>
      <c r="J23" s="70"/>
      <c r="K23" s="9"/>
      <c r="L23" s="153"/>
      <c r="M23" s="71"/>
      <c r="N23" s="8"/>
      <c r="O23" s="8"/>
      <c r="P23" s="8"/>
    </row>
    <row r="24" spans="1:16" ht="15.75" x14ac:dyDescent="0.25">
      <c r="A24" s="4" t="str">
        <f t="shared" si="1"/>
        <v/>
      </c>
      <c r="B24" s="4" t="str">
        <f>IF(AND(A24=17,'План инф-ции (титул)'!$N$6&lt;&gt;""),"017П","017")</f>
        <v>017</v>
      </c>
      <c r="D24" s="69"/>
      <c r="E24" s="80"/>
      <c r="F24" s="71"/>
      <c r="G24" s="71"/>
      <c r="H24" s="71"/>
      <c r="I24" s="71"/>
      <c r="J24" s="70"/>
      <c r="K24" s="9"/>
      <c r="L24" s="153"/>
      <c r="M24" s="71"/>
      <c r="N24" s="8"/>
      <c r="O24" s="8"/>
      <c r="P24" s="8"/>
    </row>
    <row r="25" spans="1:16" x14ac:dyDescent="0.25">
      <c r="A25" s="4" t="e">
        <f t="shared" si="1"/>
        <v>#VALUE!</v>
      </c>
      <c r="B25" s="4" t="e">
        <f>IF(AND(A25=18,'План инф-ции (титул)'!$N$6&lt;&gt;""),"018П","018")</f>
        <v>#VALUE!</v>
      </c>
      <c r="D25" s="1"/>
      <c r="F25" s="11"/>
      <c r="G25" s="11"/>
      <c r="I25" s="1" t="str">
        <f t="shared" ref="I25:I56" si="2">CONCATENATE(H25," ",D25)</f>
        <v xml:space="preserve"> </v>
      </c>
      <c r="J25" s="4" t="str">
        <f>IF(OR(H25="",I25="",D25="",F25="",G25=""),"",CONCATENATE('План инф-ции (титул)'!$P$6,".",LEFT(H25,1),".",B25))</f>
        <v/>
      </c>
      <c r="K25" s="5"/>
      <c r="L25" s="1"/>
      <c r="M25" s="26"/>
      <c r="N25" s="1"/>
      <c r="O25" s="1"/>
      <c r="P25" s="1"/>
    </row>
    <row r="26" spans="1:16" x14ac:dyDescent="0.25">
      <c r="A26" s="4" t="e">
        <f t="shared" si="1"/>
        <v>#VALUE!</v>
      </c>
      <c r="B26" s="4" t="e">
        <f>IF(AND(A26=19,'План инф-ции (титул)'!$N$6&lt;&gt;""),"019П","019")</f>
        <v>#VALUE!</v>
      </c>
      <c r="D26" s="1"/>
      <c r="F26" s="11"/>
      <c r="G26" s="11"/>
      <c r="I26" s="1" t="str">
        <f t="shared" si="2"/>
        <v xml:space="preserve"> </v>
      </c>
      <c r="J26" s="4" t="str">
        <f>IF(OR(H26="",I26="",D26="",F26="",G26=""),"",CONCATENATE('План инф-ции (титул)'!$P$6,".",LEFT(H26,1),".",B26))</f>
        <v/>
      </c>
      <c r="K26" s="5"/>
      <c r="L26" s="1"/>
      <c r="M26" s="26"/>
      <c r="N26" s="1"/>
      <c r="O26" s="1"/>
      <c r="P26" s="1"/>
    </row>
    <row r="27" spans="1:16" x14ac:dyDescent="0.25">
      <c r="A27" s="4" t="e">
        <f t="shared" si="1"/>
        <v>#VALUE!</v>
      </c>
      <c r="B27" s="4" t="e">
        <f>IF(AND(A27=20,'План инф-ции (титул)'!$N$6&lt;&gt;""),"020П","020")</f>
        <v>#VALUE!</v>
      </c>
      <c r="D27" s="1"/>
      <c r="F27" s="11"/>
      <c r="G27" s="11"/>
      <c r="I27" s="1" t="str">
        <f t="shared" si="2"/>
        <v xml:space="preserve"> </v>
      </c>
      <c r="J27" s="4" t="str">
        <f>IF(OR(H27="",I27="",D27="",F27="",G27=""),"",CONCATENATE('План инф-ции (титул)'!$P$6,".",LEFT(H27,1),".",B27))</f>
        <v/>
      </c>
      <c r="K27" s="5"/>
      <c r="L27" s="1"/>
      <c r="M27" s="26"/>
      <c r="N27" s="1"/>
      <c r="O27" s="1"/>
      <c r="P27" s="1"/>
    </row>
    <row r="28" spans="1:16" x14ac:dyDescent="0.25">
      <c r="A28" s="4" t="e">
        <f t="shared" si="1"/>
        <v>#VALUE!</v>
      </c>
      <c r="B28" s="4" t="e">
        <f>IF(AND(A28=21,'План инф-ции (титул)'!$N$6&lt;&gt;""),"021П","021")</f>
        <v>#VALUE!</v>
      </c>
      <c r="D28" s="1"/>
      <c r="F28" s="11"/>
      <c r="G28" s="11"/>
      <c r="I28" s="1" t="str">
        <f t="shared" si="2"/>
        <v xml:space="preserve"> </v>
      </c>
      <c r="J28" s="4" t="str">
        <f>IF(OR(H28="",I28="",D28="",F28="",G28=""),"",CONCATENATE('План инф-ции (титул)'!$P$6,".",LEFT(H28,1),".",B28))</f>
        <v/>
      </c>
      <c r="K28" s="5"/>
      <c r="L28" s="1"/>
      <c r="M28" s="26"/>
      <c r="N28" s="1"/>
      <c r="O28" s="1"/>
      <c r="P28" s="1"/>
    </row>
    <row r="29" spans="1:16" x14ac:dyDescent="0.25">
      <c r="A29" s="4" t="e">
        <f t="shared" si="1"/>
        <v>#VALUE!</v>
      </c>
      <c r="B29" s="4" t="e">
        <f>IF(AND(A29=22,'План инф-ции (титул)'!$N$6&lt;&gt;""),"022П","022")</f>
        <v>#VALUE!</v>
      </c>
      <c r="D29" s="1"/>
      <c r="F29" s="11"/>
      <c r="G29" s="11"/>
      <c r="I29" s="1" t="str">
        <f t="shared" si="2"/>
        <v xml:space="preserve"> </v>
      </c>
      <c r="J29" s="4" t="str">
        <f>IF(OR(H29="",I29="",D29="",F29="",G29=""),"",CONCATENATE('План инф-ции (титул)'!$P$6,".",LEFT(H29,1),".",B29))</f>
        <v/>
      </c>
      <c r="K29" s="5"/>
      <c r="L29" s="1"/>
      <c r="M29" s="26"/>
      <c r="N29" s="1"/>
      <c r="O29" s="1"/>
      <c r="P29" s="1"/>
    </row>
    <row r="30" spans="1:16" x14ac:dyDescent="0.25">
      <c r="A30" s="4" t="e">
        <f t="shared" si="1"/>
        <v>#VALUE!</v>
      </c>
      <c r="B30" s="4" t="e">
        <f>IF(AND(A30=23,'План инф-ции (титул)'!$N$6&lt;&gt;""),"023П","023")</f>
        <v>#VALUE!</v>
      </c>
      <c r="D30" s="1"/>
      <c r="F30" s="11"/>
      <c r="G30" s="11"/>
      <c r="I30" s="1" t="str">
        <f t="shared" si="2"/>
        <v xml:space="preserve"> </v>
      </c>
      <c r="J30" s="4" t="str">
        <f>IF(OR(H30="",I30="",D30="",F30="",G30=""),"",CONCATENATE('План инф-ции (титул)'!$P$6,".",LEFT(H30,1),".",B30))</f>
        <v/>
      </c>
      <c r="K30" s="5"/>
      <c r="L30" s="1"/>
      <c r="M30" s="26"/>
      <c r="N30" s="1"/>
      <c r="O30" s="1"/>
      <c r="P30" s="1"/>
    </row>
    <row r="31" spans="1:16" x14ac:dyDescent="0.25">
      <c r="A31" s="4" t="e">
        <f t="shared" si="1"/>
        <v>#VALUE!</v>
      </c>
      <c r="B31" s="4" t="e">
        <f>IF(AND(A31=24,'План инф-ции (титул)'!$N$6&lt;&gt;""),"024П","024")</f>
        <v>#VALUE!</v>
      </c>
      <c r="D31" s="1"/>
      <c r="F31" s="11"/>
      <c r="G31" s="11"/>
      <c r="I31" s="1" t="str">
        <f t="shared" si="2"/>
        <v xml:space="preserve"> </v>
      </c>
      <c r="J31" s="4" t="str">
        <f>IF(OR(H31="",I31="",D31="",F31="",G31=""),"",CONCATENATE('План инф-ции (титул)'!$P$6,".",LEFT(H31,1),".",B31))</f>
        <v/>
      </c>
      <c r="K31" s="5"/>
      <c r="L31" s="1"/>
      <c r="M31" s="1"/>
      <c r="N31" s="1"/>
      <c r="O31" s="1"/>
      <c r="P31" s="1"/>
    </row>
    <row r="32" spans="1:16" x14ac:dyDescent="0.25">
      <c r="A32" s="4" t="e">
        <f t="shared" si="1"/>
        <v>#VALUE!</v>
      </c>
      <c r="B32" s="4" t="e">
        <f>IF(AND(A32=25,'План инф-ции (титул)'!$N$6&lt;&gt;""),"025П","025")</f>
        <v>#VALUE!</v>
      </c>
      <c r="D32" s="1"/>
      <c r="F32" s="11"/>
      <c r="G32" s="11"/>
      <c r="I32" s="1" t="str">
        <f t="shared" si="2"/>
        <v xml:space="preserve"> </v>
      </c>
      <c r="J32" s="4" t="str">
        <f>IF(OR(H32="",I32="",D32="",F32="",G32=""),"",CONCATENATE('План инф-ции (титул)'!$P$6,".",LEFT(H32,1),".",B32))</f>
        <v/>
      </c>
      <c r="K32" s="5"/>
      <c r="L32" s="1"/>
      <c r="M32" s="1"/>
      <c r="N32" s="1"/>
      <c r="O32" s="1"/>
      <c r="P32" s="1"/>
    </row>
    <row r="33" spans="1:16" x14ac:dyDescent="0.25">
      <c r="A33" s="4" t="e">
        <f t="shared" si="1"/>
        <v>#VALUE!</v>
      </c>
      <c r="B33" s="4" t="e">
        <f>IF(AND(A33=26,'План инф-ции (титул)'!$N$6&lt;&gt;""),"026П","026")</f>
        <v>#VALUE!</v>
      </c>
      <c r="D33" s="1"/>
      <c r="F33" s="11"/>
      <c r="G33" s="11"/>
      <c r="I33" s="1" t="str">
        <f t="shared" si="2"/>
        <v xml:space="preserve"> </v>
      </c>
      <c r="J33" s="4" t="str">
        <f>IF(OR(H33="",I33="",D33="",F33="",G33=""),"",CONCATENATE('План инф-ции (титул)'!$P$6,".",LEFT(H33,1),".",B33))</f>
        <v/>
      </c>
      <c r="K33" s="5"/>
      <c r="L33" s="1"/>
      <c r="M33" s="1"/>
      <c r="N33" s="1"/>
      <c r="O33" s="1"/>
      <c r="P33" s="1"/>
    </row>
    <row r="34" spans="1:16" x14ac:dyDescent="0.25">
      <c r="A34" s="4" t="e">
        <f t="shared" si="1"/>
        <v>#VALUE!</v>
      </c>
      <c r="B34" s="4" t="e">
        <f>IF(AND(A34=27,'План инф-ции (титул)'!$N$6&lt;&gt;""),"027П","027")</f>
        <v>#VALUE!</v>
      </c>
      <c r="D34" s="1"/>
      <c r="F34" s="11"/>
      <c r="G34" s="11"/>
      <c r="I34" s="1" t="str">
        <f t="shared" si="2"/>
        <v xml:space="preserve"> </v>
      </c>
      <c r="J34" s="4" t="str">
        <f>IF(OR(H34="",I34="",D34="",F34="",G34=""),"",CONCATENATE('План инф-ции (титул)'!$P$6,".",LEFT(H34,1),".",B34))</f>
        <v/>
      </c>
      <c r="K34" s="5"/>
      <c r="L34" s="1"/>
      <c r="M34" s="1"/>
      <c r="N34" s="1"/>
      <c r="O34" s="1"/>
      <c r="P34" s="1"/>
    </row>
    <row r="35" spans="1:16" x14ac:dyDescent="0.25">
      <c r="A35" s="4" t="e">
        <f t="shared" si="1"/>
        <v>#VALUE!</v>
      </c>
      <c r="B35" s="4" t="e">
        <f>IF(AND(A35=28,'План инф-ции (титул)'!$N$6&lt;&gt;""),"028П","028")</f>
        <v>#VALUE!</v>
      </c>
      <c r="D35" s="1"/>
      <c r="F35" s="11"/>
      <c r="G35" s="11"/>
      <c r="I35" s="1" t="str">
        <f t="shared" si="2"/>
        <v xml:space="preserve"> </v>
      </c>
      <c r="J35" s="4" t="str">
        <f>IF(OR(H35="",I35="",D35="",F35="",G35=""),"",CONCATENATE('План инф-ции (титул)'!$P$6,".",LEFT(H35,1),".",B35))</f>
        <v/>
      </c>
      <c r="K35" s="5"/>
      <c r="L35" s="1"/>
      <c r="M35" s="1"/>
      <c r="N35" s="1"/>
      <c r="O35" s="1"/>
      <c r="P35" s="1"/>
    </row>
    <row r="36" spans="1:16" x14ac:dyDescent="0.25">
      <c r="A36" s="4" t="e">
        <f t="shared" si="1"/>
        <v>#VALUE!</v>
      </c>
      <c r="B36" s="4" t="e">
        <f>IF(AND(A36=29,'План инф-ции (титул)'!$N$6&lt;&gt;""),"029П","029")</f>
        <v>#VALUE!</v>
      </c>
      <c r="D36" s="1"/>
      <c r="F36" s="11"/>
      <c r="G36" s="11"/>
      <c r="I36" s="1" t="str">
        <f t="shared" si="2"/>
        <v xml:space="preserve"> </v>
      </c>
      <c r="J36" s="4" t="str">
        <f>IF(OR(H36="",I36="",D36="",F36="",G36=""),"",CONCATENATE('План инф-ции (титул)'!$P$6,".",LEFT(H36,1),".",B36))</f>
        <v/>
      </c>
      <c r="K36" s="5"/>
      <c r="L36" s="1"/>
      <c r="M36" s="1"/>
      <c r="N36" s="1"/>
      <c r="O36" s="1"/>
      <c r="P36" s="1"/>
    </row>
    <row r="37" spans="1:16" x14ac:dyDescent="0.25">
      <c r="A37" s="4" t="e">
        <f t="shared" si="1"/>
        <v>#VALUE!</v>
      </c>
      <c r="B37" s="4" t="e">
        <f>IF(AND(A37=30,'План инф-ции (титул)'!$N$6&lt;&gt;""),"030П","030")</f>
        <v>#VALUE!</v>
      </c>
      <c r="D37" s="1"/>
      <c r="F37" s="11"/>
      <c r="G37" s="11"/>
      <c r="I37" s="1" t="str">
        <f t="shared" si="2"/>
        <v xml:space="preserve"> </v>
      </c>
      <c r="J37" s="4" t="str">
        <f>IF(OR(H37="",I37="",D37="",F37="",G37=""),"",CONCATENATE('План инф-ции (титул)'!$P$6,".",LEFT(H37,1),".",B37))</f>
        <v/>
      </c>
      <c r="K37" s="5"/>
      <c r="L37" s="1"/>
      <c r="M37" s="1"/>
      <c r="N37" s="1"/>
      <c r="O37" s="1"/>
      <c r="P37" s="1"/>
    </row>
    <row r="38" spans="1:16" x14ac:dyDescent="0.25">
      <c r="A38" s="4" t="e">
        <f t="shared" si="1"/>
        <v>#VALUE!</v>
      </c>
      <c r="B38" s="4" t="e">
        <f>IF(AND(A38=31,'План инф-ции (титул)'!$N$6&lt;&gt;""),"031П","031")</f>
        <v>#VALUE!</v>
      </c>
      <c r="D38" s="1"/>
      <c r="F38" s="11"/>
      <c r="G38" s="11"/>
      <c r="I38" s="1" t="str">
        <f t="shared" si="2"/>
        <v xml:space="preserve"> </v>
      </c>
      <c r="J38" s="4" t="str">
        <f>IF(OR(H38="",I38="",D38="",F38="",G38=""),"",CONCATENATE('План инф-ции (титул)'!$P$6,".",LEFT(H38,1),".",B38))</f>
        <v/>
      </c>
      <c r="K38" s="5"/>
      <c r="L38" s="1"/>
      <c r="M38" s="1"/>
      <c r="N38" s="1"/>
      <c r="O38" s="1"/>
      <c r="P38" s="1"/>
    </row>
    <row r="39" spans="1:16" x14ac:dyDescent="0.25">
      <c r="A39" s="4" t="e">
        <f t="shared" si="1"/>
        <v>#VALUE!</v>
      </c>
      <c r="B39" s="4" t="e">
        <f>IF(AND(A39=32,'План инф-ции (титул)'!$N$6&lt;&gt;""),"032П","032")</f>
        <v>#VALUE!</v>
      </c>
      <c r="D39" s="1"/>
      <c r="F39" s="11"/>
      <c r="G39" s="11"/>
      <c r="I39" s="1" t="str">
        <f t="shared" si="2"/>
        <v xml:space="preserve"> </v>
      </c>
      <c r="J39" s="4" t="str">
        <f>IF(OR(H39="",I39="",D39="",F39="",G39=""),"",CONCATENATE('План инф-ции (титул)'!$P$6,".",LEFT(H39,1),".",B39))</f>
        <v/>
      </c>
      <c r="K39" s="5"/>
      <c r="L39" s="1"/>
      <c r="M39" s="1"/>
      <c r="N39" s="1"/>
      <c r="O39" s="1"/>
      <c r="P39" s="1"/>
    </row>
    <row r="40" spans="1:16" x14ac:dyDescent="0.25">
      <c r="A40" s="4" t="e">
        <f t="shared" si="1"/>
        <v>#VALUE!</v>
      </c>
      <c r="B40" s="4" t="e">
        <f>IF(AND(A40=33,'План инф-ции (титул)'!$N$6&lt;&gt;""),"033П","033")</f>
        <v>#VALUE!</v>
      </c>
      <c r="D40" s="1"/>
      <c r="F40" s="11"/>
      <c r="G40" s="11"/>
      <c r="I40" s="1" t="str">
        <f t="shared" si="2"/>
        <v xml:space="preserve"> </v>
      </c>
      <c r="J40" s="4" t="str">
        <f>IF(OR(H40="",I40="",D40="",F40="",G40=""),"",CONCATENATE('План инф-ции (титул)'!$P$6,".",LEFT(H40,1),".",B40))</f>
        <v/>
      </c>
      <c r="K40" s="5"/>
      <c r="L40" s="1"/>
      <c r="M40" s="1"/>
      <c r="N40" s="1"/>
      <c r="O40" s="1"/>
      <c r="P40" s="1"/>
    </row>
    <row r="41" spans="1:16" x14ac:dyDescent="0.25">
      <c r="A41" s="4" t="e">
        <f t="shared" ref="A41:A72" si="3">IF(I41="","",A40+1)</f>
        <v>#VALUE!</v>
      </c>
      <c r="B41" s="4" t="e">
        <f>IF(AND(A41=34,'План инф-ции (титул)'!$N$6&lt;&gt;""),"034П","034")</f>
        <v>#VALUE!</v>
      </c>
      <c r="D41" s="1"/>
      <c r="F41" s="11"/>
      <c r="G41" s="11"/>
      <c r="I41" s="1" t="str">
        <f t="shared" si="2"/>
        <v xml:space="preserve"> </v>
      </c>
      <c r="J41" s="4" t="str">
        <f>IF(OR(H41="",I41="",D41="",F41="",G41=""),"",CONCATENATE('План инф-ции (титул)'!$P$6,".",LEFT(H41,1),".",B41))</f>
        <v/>
      </c>
      <c r="K41" s="5"/>
      <c r="L41" s="1"/>
      <c r="M41" s="1"/>
      <c r="N41" s="1"/>
      <c r="O41" s="1"/>
      <c r="P41" s="1"/>
    </row>
    <row r="42" spans="1:16" x14ac:dyDescent="0.25">
      <c r="A42" s="4" t="e">
        <f t="shared" si="3"/>
        <v>#VALUE!</v>
      </c>
      <c r="B42" s="4" t="e">
        <f>IF(AND(A42=35,'План инф-ции (титул)'!$N$6&lt;&gt;""),"035П","035")</f>
        <v>#VALUE!</v>
      </c>
      <c r="D42" s="1"/>
      <c r="F42" s="11"/>
      <c r="G42" s="11"/>
      <c r="I42" s="1" t="str">
        <f t="shared" si="2"/>
        <v xml:space="preserve"> </v>
      </c>
      <c r="J42" s="4" t="str">
        <f>IF(OR(H42="",I42="",D42="",F42="",G42=""),"",CONCATENATE('План инф-ции (титул)'!$P$6,".",LEFT(H42,1),".",B42))</f>
        <v/>
      </c>
      <c r="K42" s="5"/>
      <c r="L42" s="1"/>
      <c r="M42" s="1"/>
      <c r="N42" s="1"/>
      <c r="O42" s="1"/>
      <c r="P42" s="1"/>
    </row>
    <row r="43" spans="1:16" x14ac:dyDescent="0.25">
      <c r="A43" s="4" t="e">
        <f t="shared" si="3"/>
        <v>#VALUE!</v>
      </c>
      <c r="B43" s="4" t="e">
        <f>IF(AND(A43=36,'План инф-ции (титул)'!$N$6&lt;&gt;""),"036П","036")</f>
        <v>#VALUE!</v>
      </c>
      <c r="D43" s="1"/>
      <c r="F43" s="11"/>
      <c r="G43" s="11"/>
      <c r="I43" s="1" t="str">
        <f t="shared" si="2"/>
        <v xml:space="preserve"> </v>
      </c>
      <c r="J43" s="4" t="str">
        <f>IF(OR(H43="",I43="",D43="",F43="",G43=""),"",CONCATENATE('План инф-ции (титул)'!$P$6,".",LEFT(H43,1),".",B43))</f>
        <v/>
      </c>
      <c r="K43" s="5"/>
      <c r="L43" s="1"/>
      <c r="M43" s="1"/>
      <c r="N43" s="1"/>
      <c r="O43" s="1"/>
      <c r="P43" s="1"/>
    </row>
    <row r="44" spans="1:16" x14ac:dyDescent="0.25">
      <c r="A44" s="4" t="e">
        <f t="shared" si="3"/>
        <v>#VALUE!</v>
      </c>
      <c r="B44" s="4" t="e">
        <f>IF(AND(A44=37,'План инф-ции (титул)'!$N$6&lt;&gt;""),"038П","038")</f>
        <v>#VALUE!</v>
      </c>
      <c r="D44" s="1"/>
      <c r="F44" s="11"/>
      <c r="G44" s="11"/>
      <c r="I44" s="1" t="str">
        <f t="shared" si="2"/>
        <v xml:space="preserve"> </v>
      </c>
      <c r="J44" s="4" t="str">
        <f>IF(OR(H44="",I44="",D44="",F44="",G44=""),"",CONCATENATE('План инф-ции (титул)'!$P$6,".",LEFT(H44,1),".",B44))</f>
        <v/>
      </c>
      <c r="K44" s="5"/>
      <c r="L44" s="1"/>
      <c r="M44" s="1"/>
      <c r="N44" s="1"/>
      <c r="O44" s="1"/>
      <c r="P44" s="1"/>
    </row>
    <row r="45" spans="1:16" x14ac:dyDescent="0.25">
      <c r="A45" s="4" t="e">
        <f t="shared" si="3"/>
        <v>#VALUE!</v>
      </c>
      <c r="B45" s="4" t="e">
        <f>IF(AND(A45=38,'План инф-ции (титул)'!$N$6&lt;&gt;""),"038П","038")</f>
        <v>#VALUE!</v>
      </c>
      <c r="D45" s="1"/>
      <c r="F45" s="11"/>
      <c r="G45" s="11"/>
      <c r="I45" s="1" t="str">
        <f t="shared" si="2"/>
        <v xml:space="preserve"> </v>
      </c>
      <c r="J45" s="4" t="str">
        <f>IF(OR(H45="",I45="",D45="",F45="",G45=""),"",CONCATENATE('План инф-ции (титул)'!$P$6,".",LEFT(H45,1),".",B45))</f>
        <v/>
      </c>
      <c r="K45" s="5"/>
      <c r="L45" s="1"/>
      <c r="M45" s="1"/>
      <c r="N45" s="1"/>
      <c r="O45" s="1"/>
      <c r="P45" s="1"/>
    </row>
    <row r="46" spans="1:16" x14ac:dyDescent="0.25">
      <c r="A46" s="4" t="e">
        <f t="shared" si="3"/>
        <v>#VALUE!</v>
      </c>
      <c r="B46" s="4" t="e">
        <f>IF(AND(A46=39,'План инф-ции (титул)'!$N$6&lt;&gt;""),"039П","039")</f>
        <v>#VALUE!</v>
      </c>
      <c r="D46" s="1"/>
      <c r="F46" s="11"/>
      <c r="G46" s="11"/>
      <c r="I46" s="1" t="str">
        <f t="shared" si="2"/>
        <v xml:space="preserve"> </v>
      </c>
      <c r="J46" s="4" t="str">
        <f>IF(OR(H46="",I46="",D46="",F46="",G46=""),"",CONCATENATE('План инф-ции (титул)'!$P$6,".",LEFT(H46,1),".",B46))</f>
        <v/>
      </c>
      <c r="K46" s="5"/>
      <c r="L46" s="1"/>
      <c r="M46" s="1"/>
      <c r="N46" s="1"/>
      <c r="O46" s="1"/>
      <c r="P46" s="1"/>
    </row>
    <row r="47" spans="1:16" x14ac:dyDescent="0.25">
      <c r="A47" s="4" t="e">
        <f t="shared" si="3"/>
        <v>#VALUE!</v>
      </c>
      <c r="B47" s="4" t="e">
        <f>IF(AND(A47=40,'План инф-ции (титул)'!$N$6&lt;&gt;""),"040П","040")</f>
        <v>#VALUE!</v>
      </c>
      <c r="D47" s="1"/>
      <c r="F47" s="11"/>
      <c r="G47" s="11"/>
      <c r="I47" s="1" t="str">
        <f t="shared" si="2"/>
        <v xml:space="preserve"> </v>
      </c>
      <c r="J47" s="4" t="str">
        <f>IF(OR(H47="",I47="",D47="",F47="",G47=""),"",CONCATENATE('План инф-ции (титул)'!$P$6,".",LEFT(H47,1),".",B47))</f>
        <v/>
      </c>
      <c r="K47" s="5"/>
      <c r="L47" s="1"/>
      <c r="M47" s="1"/>
      <c r="N47" s="1"/>
      <c r="O47" s="1"/>
      <c r="P47" s="1"/>
    </row>
    <row r="48" spans="1:16" x14ac:dyDescent="0.25">
      <c r="A48" s="4" t="e">
        <f t="shared" si="3"/>
        <v>#VALUE!</v>
      </c>
      <c r="B48" s="4" t="e">
        <f>IF(AND(A48=41,'План инф-ции (титул)'!$N$6&lt;&gt;""),"041П","041")</f>
        <v>#VALUE!</v>
      </c>
      <c r="D48" s="1"/>
      <c r="F48" s="11"/>
      <c r="G48" s="11"/>
      <c r="I48" s="1" t="str">
        <f t="shared" si="2"/>
        <v xml:space="preserve"> </v>
      </c>
      <c r="J48" s="4" t="str">
        <f>IF(OR(H48="",I48="",D48="",F48="",G48=""),"",CONCATENATE('План инф-ции (титул)'!$P$6,".",LEFT(H48,1),".",B48))</f>
        <v/>
      </c>
      <c r="K48" s="5"/>
      <c r="L48" s="1"/>
      <c r="M48" s="1"/>
      <c r="N48" s="1"/>
      <c r="O48" s="1"/>
      <c r="P48" s="1"/>
    </row>
    <row r="49" spans="1:16" x14ac:dyDescent="0.25">
      <c r="A49" s="4" t="e">
        <f t="shared" si="3"/>
        <v>#VALUE!</v>
      </c>
      <c r="B49" s="4" t="e">
        <f>IF(AND(A49=42,'План инф-ции (титул)'!$N$6&lt;&gt;""),"042П","042")</f>
        <v>#VALUE!</v>
      </c>
      <c r="D49" s="1"/>
      <c r="F49" s="11"/>
      <c r="G49" s="11"/>
      <c r="I49" s="1" t="str">
        <f t="shared" si="2"/>
        <v xml:space="preserve"> </v>
      </c>
      <c r="J49" s="4" t="str">
        <f>IF(OR(H49="",I49="",D49="",F49="",G49=""),"",CONCATENATE('План инф-ции (титул)'!$P$6,".",LEFT(H49,1),".",B49))</f>
        <v/>
      </c>
      <c r="K49" s="5"/>
      <c r="L49" s="1"/>
      <c r="M49" s="1"/>
      <c r="N49" s="1"/>
      <c r="O49" s="1"/>
      <c r="P49" s="1"/>
    </row>
    <row r="50" spans="1:16" x14ac:dyDescent="0.25">
      <c r="A50" s="4" t="e">
        <f t="shared" si="3"/>
        <v>#VALUE!</v>
      </c>
      <c r="B50" s="4" t="e">
        <f>IF(AND(A50=43,'План инф-ции (титул)'!$N$6&lt;&gt;""),"043П","043")</f>
        <v>#VALUE!</v>
      </c>
      <c r="D50" s="1"/>
      <c r="F50" s="11"/>
      <c r="G50" s="11"/>
      <c r="I50" s="1" t="str">
        <f t="shared" si="2"/>
        <v xml:space="preserve"> </v>
      </c>
      <c r="J50" s="4" t="str">
        <f>IF(OR(H50="",I50="",D50="",F50="",G50=""),"",CONCATENATE('План инф-ции (титул)'!$P$6,".",LEFT(H50,1),".",B50))</f>
        <v/>
      </c>
      <c r="K50" s="5"/>
      <c r="L50" s="1"/>
      <c r="M50" s="1"/>
      <c r="N50" s="1"/>
      <c r="O50" s="1"/>
      <c r="P50" s="1"/>
    </row>
    <row r="51" spans="1:16" x14ac:dyDescent="0.25">
      <c r="A51" s="4" t="e">
        <f t="shared" si="3"/>
        <v>#VALUE!</v>
      </c>
      <c r="B51" s="4" t="e">
        <f>IF(AND(A51=44,'План инф-ции (титул)'!$N$6&lt;&gt;""),"044П","044")</f>
        <v>#VALUE!</v>
      </c>
      <c r="D51" s="1"/>
      <c r="F51" s="11"/>
      <c r="G51" s="11"/>
      <c r="I51" s="1" t="str">
        <f t="shared" si="2"/>
        <v xml:space="preserve"> </v>
      </c>
      <c r="J51" s="4" t="str">
        <f>IF(OR(H51="",I51="",D51="",F51="",G51=""),"",CONCATENATE('План инф-ции (титул)'!$P$6,".",LEFT(H51,1),".",B51))</f>
        <v/>
      </c>
      <c r="K51" s="5"/>
      <c r="L51" s="1"/>
      <c r="M51" s="1"/>
      <c r="N51" s="1"/>
      <c r="O51" s="1"/>
      <c r="P51" s="1"/>
    </row>
    <row r="52" spans="1:16" x14ac:dyDescent="0.25">
      <c r="A52" s="4" t="e">
        <f t="shared" si="3"/>
        <v>#VALUE!</v>
      </c>
      <c r="B52" s="4" t="e">
        <f>IF(AND(A52=45,'План инф-ции (титул)'!$N$6&lt;&gt;""),"045П","045")</f>
        <v>#VALUE!</v>
      </c>
      <c r="D52" s="1"/>
      <c r="F52" s="11"/>
      <c r="G52" s="11"/>
      <c r="I52" s="1" t="str">
        <f t="shared" si="2"/>
        <v xml:space="preserve"> </v>
      </c>
      <c r="J52" s="4" t="str">
        <f>IF(OR(H52="",I52="",D52="",F52="",G52=""),"",CONCATENATE('План инф-ции (титул)'!$P$6,".",LEFT(H52,1),".",B52))</f>
        <v/>
      </c>
      <c r="K52" s="5"/>
      <c r="L52" s="1"/>
      <c r="M52" s="1"/>
      <c r="N52" s="1"/>
      <c r="O52" s="1"/>
      <c r="P52" s="1"/>
    </row>
    <row r="53" spans="1:16" x14ac:dyDescent="0.25">
      <c r="A53" s="4" t="e">
        <f t="shared" si="3"/>
        <v>#VALUE!</v>
      </c>
      <c r="B53" s="4" t="e">
        <f>IF(AND(A53=46,'План инф-ции (титул)'!$N$6&lt;&gt;""),"046П","046")</f>
        <v>#VALUE!</v>
      </c>
      <c r="D53" s="1"/>
      <c r="F53" s="11"/>
      <c r="G53" s="11"/>
      <c r="I53" s="1" t="str">
        <f t="shared" si="2"/>
        <v xml:space="preserve"> </v>
      </c>
      <c r="J53" s="4" t="str">
        <f>IF(OR(H53="",I53="",D53="",F53="",G53=""),"",CONCATENATE('План инф-ции (титул)'!$P$6,".",LEFT(H53,1),".",B53))</f>
        <v/>
      </c>
      <c r="K53" s="5"/>
      <c r="L53" s="1"/>
      <c r="M53" s="1"/>
      <c r="N53" s="1"/>
      <c r="O53" s="1"/>
      <c r="P53" s="1"/>
    </row>
    <row r="54" spans="1:16" x14ac:dyDescent="0.25">
      <c r="A54" s="4" t="e">
        <f t="shared" si="3"/>
        <v>#VALUE!</v>
      </c>
      <c r="B54" s="4" t="e">
        <f>IF(AND(A54=47,'План инф-ции (титул)'!$N$6&lt;&gt;""),"047П","047")</f>
        <v>#VALUE!</v>
      </c>
      <c r="D54" s="1"/>
      <c r="F54" s="11"/>
      <c r="G54" s="11"/>
      <c r="I54" s="1" t="str">
        <f t="shared" si="2"/>
        <v xml:space="preserve"> </v>
      </c>
      <c r="J54" s="4" t="str">
        <f>IF(OR(H54="",I54="",D54="",F54="",G54=""),"",CONCATENATE('План инф-ции (титул)'!$P$6,".",LEFT(H54,1),".",B54))</f>
        <v/>
      </c>
      <c r="K54" s="5"/>
      <c r="L54" s="1"/>
      <c r="M54" s="1"/>
      <c r="N54" s="1"/>
      <c r="O54" s="1"/>
      <c r="P54" s="1"/>
    </row>
    <row r="55" spans="1:16" x14ac:dyDescent="0.25">
      <c r="A55" s="4" t="e">
        <f t="shared" si="3"/>
        <v>#VALUE!</v>
      </c>
      <c r="B55" s="4" t="e">
        <f>IF(AND(A55=48,'План инф-ции (титул)'!$N$6&lt;&gt;""),"048П","048")</f>
        <v>#VALUE!</v>
      </c>
      <c r="D55" s="1"/>
      <c r="F55" s="11"/>
      <c r="G55" s="11"/>
      <c r="I55" s="1" t="str">
        <f t="shared" si="2"/>
        <v xml:space="preserve"> </v>
      </c>
      <c r="J55" s="4" t="str">
        <f>IF(OR(H55="",I55="",D55="",F55="",G55=""),"",CONCATENATE('План инф-ции (титул)'!$P$6,".",LEFT(H55,1),".",B55))</f>
        <v/>
      </c>
      <c r="K55" s="5"/>
      <c r="L55" s="1"/>
      <c r="M55" s="1"/>
      <c r="N55" s="1"/>
      <c r="O55" s="1"/>
      <c r="P55" s="1"/>
    </row>
    <row r="56" spans="1:16" x14ac:dyDescent="0.25">
      <c r="A56" s="4" t="e">
        <f t="shared" si="3"/>
        <v>#VALUE!</v>
      </c>
      <c r="B56" s="4" t="e">
        <f>IF(AND(A56=49,'План инф-ции (титул)'!$N$6&lt;&gt;""),"049П","049")</f>
        <v>#VALUE!</v>
      </c>
      <c r="D56" s="1"/>
      <c r="F56" s="11"/>
      <c r="G56" s="11"/>
      <c r="I56" s="1" t="str">
        <f t="shared" si="2"/>
        <v xml:space="preserve"> </v>
      </c>
      <c r="J56" s="4" t="str">
        <f>IF(OR(H56="",I56="",D56="",F56="",G56=""),"",CONCATENATE('План инф-ции (титул)'!$P$6,".",LEFT(H56,1),".",B56))</f>
        <v/>
      </c>
      <c r="K56" s="5"/>
      <c r="L56" s="1"/>
      <c r="M56" s="1"/>
      <c r="N56" s="1"/>
      <c r="O56" s="1"/>
      <c r="P56" s="1"/>
    </row>
    <row r="57" spans="1:16" x14ac:dyDescent="0.25">
      <c r="A57" s="4" t="e">
        <f t="shared" si="3"/>
        <v>#VALUE!</v>
      </c>
      <c r="B57" s="4" t="e">
        <f>IF(AND(A57=50,'План инф-ции (титул)'!$N$6&lt;&gt;""),"050П","050")</f>
        <v>#VALUE!</v>
      </c>
      <c r="D57" s="1"/>
      <c r="F57" s="11"/>
      <c r="G57" s="11"/>
      <c r="I57" s="1" t="str">
        <f t="shared" ref="I57:I88" si="4">CONCATENATE(H57," ",D57)</f>
        <v xml:space="preserve"> </v>
      </c>
      <c r="J57" s="4" t="str">
        <f>IF(OR(H57="",I57="",D57="",F57="",G57=""),"",CONCATENATE('План инф-ции (титул)'!$P$6,".",LEFT(H57,1),".",B57))</f>
        <v/>
      </c>
      <c r="K57" s="5"/>
      <c r="L57" s="1"/>
      <c r="M57" s="1"/>
      <c r="N57" s="1"/>
      <c r="O57" s="1"/>
      <c r="P57" s="1"/>
    </row>
    <row r="58" spans="1:16" x14ac:dyDescent="0.25">
      <c r="A58" s="4" t="e">
        <f t="shared" si="3"/>
        <v>#VALUE!</v>
      </c>
      <c r="B58" s="4" t="e">
        <f>IF(AND(A58=51,'План инф-ции (титул)'!$N$6&lt;&gt;""),"051П","051")</f>
        <v>#VALUE!</v>
      </c>
      <c r="D58" s="1"/>
      <c r="F58" s="11"/>
      <c r="G58" s="11"/>
      <c r="I58" s="1" t="str">
        <f t="shared" si="4"/>
        <v xml:space="preserve"> </v>
      </c>
      <c r="J58" s="4" t="str">
        <f>IF(OR(H58="",I58="",D58="",F58="",G58=""),"",CONCATENATE('План инф-ции (титул)'!$P$6,".",LEFT(H58,1),".",B58))</f>
        <v/>
      </c>
      <c r="K58" s="5"/>
      <c r="L58" s="1"/>
      <c r="M58" s="1"/>
      <c r="N58" s="1"/>
      <c r="O58" s="1"/>
      <c r="P58" s="1"/>
    </row>
    <row r="59" spans="1:16" x14ac:dyDescent="0.25">
      <c r="A59" s="4" t="e">
        <f t="shared" si="3"/>
        <v>#VALUE!</v>
      </c>
      <c r="B59" s="4" t="e">
        <f>IF(AND(A59=52,'План инф-ции (титул)'!$N$6&lt;&gt;""),"052П","052")</f>
        <v>#VALUE!</v>
      </c>
      <c r="D59" s="1"/>
      <c r="F59" s="11"/>
      <c r="G59" s="11"/>
      <c r="I59" s="1" t="str">
        <f t="shared" si="4"/>
        <v xml:space="preserve"> </v>
      </c>
      <c r="J59" s="4" t="str">
        <f>IF(OR(H59="",I59="",D59="",F59="",G59=""),"",CONCATENATE('План инф-ции (титул)'!$P$6,".",LEFT(H59,1),".",B59))</f>
        <v/>
      </c>
      <c r="K59" s="5"/>
      <c r="L59" s="1"/>
      <c r="M59" s="1"/>
      <c r="N59" s="1"/>
      <c r="O59" s="1"/>
      <c r="P59" s="1"/>
    </row>
    <row r="60" spans="1:16" x14ac:dyDescent="0.25">
      <c r="A60" s="4" t="e">
        <f t="shared" si="3"/>
        <v>#VALUE!</v>
      </c>
      <c r="B60" s="4" t="e">
        <f>IF(AND(A60=53,'План инф-ции (титул)'!$N$6&lt;&gt;""),"053П","053")</f>
        <v>#VALUE!</v>
      </c>
      <c r="D60" s="1"/>
      <c r="F60" s="11"/>
      <c r="G60" s="11"/>
      <c r="I60" s="1" t="str">
        <f t="shared" si="4"/>
        <v xml:space="preserve"> </v>
      </c>
      <c r="J60" s="4" t="str">
        <f>IF(OR(H60="",I60="",D60="",F60="",G60=""),"",CONCATENATE('План инф-ции (титул)'!$P$6,".",LEFT(H60,1),".",B60))</f>
        <v/>
      </c>
      <c r="K60" s="5"/>
      <c r="L60" s="1"/>
      <c r="M60" s="1"/>
      <c r="N60" s="1"/>
      <c r="O60" s="1"/>
      <c r="P60" s="1"/>
    </row>
    <row r="61" spans="1:16" x14ac:dyDescent="0.25">
      <c r="A61" s="4" t="e">
        <f t="shared" si="3"/>
        <v>#VALUE!</v>
      </c>
      <c r="B61" s="4" t="e">
        <f>IF(AND(A61=54,'План инф-ции (титул)'!$N$6&lt;&gt;""),"054П","054")</f>
        <v>#VALUE!</v>
      </c>
      <c r="D61" s="1"/>
      <c r="F61" s="11"/>
      <c r="G61" s="11"/>
      <c r="I61" s="1" t="str">
        <f t="shared" si="4"/>
        <v xml:space="preserve"> </v>
      </c>
      <c r="J61" s="4" t="str">
        <f>IF(OR(H61="",I61="",D61="",F61="",G61=""),"",CONCATENATE('План инф-ции (титул)'!$P$6,".",LEFT(H61,1),".",B61))</f>
        <v/>
      </c>
      <c r="K61" s="5"/>
      <c r="L61" s="1"/>
      <c r="M61" s="1"/>
      <c r="N61" s="1"/>
      <c r="O61" s="1"/>
      <c r="P61" s="1"/>
    </row>
    <row r="62" spans="1:16" x14ac:dyDescent="0.25">
      <c r="A62" s="4" t="e">
        <f t="shared" si="3"/>
        <v>#VALUE!</v>
      </c>
      <c r="B62" s="4" t="e">
        <f>IF(AND(A62=55,'План инф-ции (титул)'!$N$6&lt;&gt;""),"055П","055")</f>
        <v>#VALUE!</v>
      </c>
      <c r="D62" s="1"/>
      <c r="F62" s="11"/>
      <c r="G62" s="11"/>
      <c r="I62" s="1" t="str">
        <f t="shared" si="4"/>
        <v xml:space="preserve"> </v>
      </c>
      <c r="J62" s="4" t="str">
        <f>IF(OR(H62="",I62="",D62="",F62="",G62=""),"",CONCATENATE('План инф-ции (титул)'!$P$6,".",LEFT(H62,1),".",B62))</f>
        <v/>
      </c>
      <c r="K62" s="5"/>
      <c r="L62" s="1"/>
      <c r="M62" s="1"/>
      <c r="N62" s="1"/>
      <c r="O62" s="1"/>
      <c r="P62" s="1"/>
    </row>
    <row r="63" spans="1:16" x14ac:dyDescent="0.25">
      <c r="A63" s="4" t="e">
        <f t="shared" si="3"/>
        <v>#VALUE!</v>
      </c>
      <c r="B63" s="4" t="e">
        <f>IF(AND(A63=56,'План инф-ции (титул)'!$N$6&lt;&gt;""),"056П","056")</f>
        <v>#VALUE!</v>
      </c>
      <c r="D63" s="1"/>
      <c r="F63" s="11"/>
      <c r="G63" s="11"/>
      <c r="I63" s="1" t="str">
        <f t="shared" si="4"/>
        <v xml:space="preserve"> </v>
      </c>
      <c r="J63" s="4" t="str">
        <f>IF(OR(H63="",I63="",D63="",F63="",G63=""),"",CONCATENATE('План инф-ции (титул)'!$P$6,".",LEFT(H63,1),".",B63))</f>
        <v/>
      </c>
      <c r="K63" s="5"/>
      <c r="L63" s="1"/>
      <c r="M63" s="1"/>
      <c r="N63" s="1"/>
      <c r="O63" s="1"/>
      <c r="P63" s="1"/>
    </row>
    <row r="64" spans="1:16" x14ac:dyDescent="0.25">
      <c r="A64" s="4" t="e">
        <f t="shared" si="3"/>
        <v>#VALUE!</v>
      </c>
      <c r="B64" s="4" t="e">
        <f>IF(AND(A64=57,'План инф-ции (титул)'!$N$6&lt;&gt;""),"057П","057")</f>
        <v>#VALUE!</v>
      </c>
      <c r="D64" s="1"/>
      <c r="F64" s="11"/>
      <c r="G64" s="11"/>
      <c r="I64" s="1" t="str">
        <f t="shared" si="4"/>
        <v xml:space="preserve"> </v>
      </c>
      <c r="J64" s="4" t="str">
        <f>IF(OR(H64="",I64="",D64="",F64="",G64=""),"",CONCATENATE('План инф-ции (титул)'!$P$6,".",LEFT(H64,1),".",B64))</f>
        <v/>
      </c>
      <c r="K64" s="5"/>
      <c r="L64" s="1"/>
      <c r="M64" s="1"/>
      <c r="N64" s="1"/>
      <c r="O64" s="1"/>
      <c r="P64" s="1"/>
    </row>
    <row r="65" spans="1:16" x14ac:dyDescent="0.25">
      <c r="A65" s="4" t="e">
        <f t="shared" si="3"/>
        <v>#VALUE!</v>
      </c>
      <c r="B65" s="4" t="e">
        <f>IF(AND(A65=58,'План инф-ции (титул)'!$N$6&lt;&gt;""),"058П","058")</f>
        <v>#VALUE!</v>
      </c>
      <c r="D65" s="1"/>
      <c r="F65" s="11"/>
      <c r="G65" s="11"/>
      <c r="I65" s="1" t="str">
        <f t="shared" si="4"/>
        <v xml:space="preserve"> </v>
      </c>
      <c r="J65" s="4" t="str">
        <f>IF(OR(H65="",I65="",D65="",F65="",G65=""),"",CONCATENATE('План инф-ции (титул)'!$P$6,".",LEFT(H65,1),".",B65))</f>
        <v/>
      </c>
      <c r="K65" s="5"/>
      <c r="L65" s="1"/>
      <c r="M65" s="1"/>
      <c r="N65" s="1"/>
      <c r="O65" s="1"/>
      <c r="P65" s="1"/>
    </row>
    <row r="66" spans="1:16" x14ac:dyDescent="0.25">
      <c r="A66" s="4" t="e">
        <f t="shared" si="3"/>
        <v>#VALUE!</v>
      </c>
      <c r="B66" s="4" t="e">
        <f>IF(AND(A66=59,'План инф-ции (титул)'!$N$6&lt;&gt;""),"059П","059")</f>
        <v>#VALUE!</v>
      </c>
      <c r="D66" s="1"/>
      <c r="F66" s="11"/>
      <c r="G66" s="11"/>
      <c r="I66" s="1" t="str">
        <f t="shared" si="4"/>
        <v xml:space="preserve"> </v>
      </c>
      <c r="J66" s="4" t="str">
        <f>IF(OR(H66="",I66="",D66="",F66="",G66=""),"",CONCATENATE('План инф-ции (титул)'!$P$6,".",LEFT(H66,1),".",B66))</f>
        <v/>
      </c>
      <c r="K66" s="5"/>
      <c r="L66" s="1"/>
      <c r="M66" s="1"/>
      <c r="N66" s="1"/>
      <c r="O66" s="1"/>
      <c r="P66" s="1"/>
    </row>
    <row r="67" spans="1:16" x14ac:dyDescent="0.25">
      <c r="A67" s="4" t="e">
        <f t="shared" si="3"/>
        <v>#VALUE!</v>
      </c>
      <c r="B67" s="4" t="e">
        <f>IF(AND(A67=60,'План инф-ции (титул)'!$N$6&lt;&gt;""),"060П","060")</f>
        <v>#VALUE!</v>
      </c>
      <c r="D67" s="1"/>
      <c r="F67" s="11"/>
      <c r="G67" s="11"/>
      <c r="I67" s="1" t="str">
        <f t="shared" si="4"/>
        <v xml:space="preserve"> </v>
      </c>
      <c r="J67" s="4" t="str">
        <f>IF(OR(H67="",I67="",D67="",F67="",G67=""),"",CONCATENATE('План инф-ции (титул)'!$P$6,".",LEFT(H67,1),".",B67))</f>
        <v/>
      </c>
      <c r="K67" s="5"/>
      <c r="L67" s="1"/>
      <c r="M67" s="1"/>
      <c r="N67" s="1"/>
      <c r="O67" s="1"/>
      <c r="P67" s="1"/>
    </row>
    <row r="68" spans="1:16" x14ac:dyDescent="0.25">
      <c r="A68" s="4" t="e">
        <f t="shared" si="3"/>
        <v>#VALUE!</v>
      </c>
      <c r="B68" s="4" t="e">
        <f>IF(AND(A68=61,'План инф-ции (титул)'!$N$6&lt;&gt;""),"061П","061")</f>
        <v>#VALUE!</v>
      </c>
      <c r="D68" s="1"/>
      <c r="F68" s="11"/>
      <c r="G68" s="11"/>
      <c r="I68" s="1" t="str">
        <f t="shared" si="4"/>
        <v xml:space="preserve"> </v>
      </c>
      <c r="J68" s="4" t="str">
        <f>IF(OR(H68="",I68="",D68="",F68="",G68=""),"",CONCATENATE('План инф-ции (титул)'!$P$6,".",LEFT(H68,1),".",B68))</f>
        <v/>
      </c>
      <c r="K68" s="5"/>
      <c r="L68" s="1"/>
      <c r="M68" s="1"/>
      <c r="N68" s="1"/>
      <c r="O68" s="1"/>
      <c r="P68" s="1"/>
    </row>
    <row r="69" spans="1:16" x14ac:dyDescent="0.25">
      <c r="A69" s="4" t="e">
        <f t="shared" si="3"/>
        <v>#VALUE!</v>
      </c>
      <c r="B69" s="4" t="e">
        <f>IF(AND(A69=62,'План инф-ции (титул)'!$N$6&lt;&gt;""),"062П","062")</f>
        <v>#VALUE!</v>
      </c>
      <c r="D69" s="1"/>
      <c r="F69" s="11"/>
      <c r="G69" s="11"/>
      <c r="I69" s="1" t="str">
        <f t="shared" si="4"/>
        <v xml:space="preserve"> </v>
      </c>
      <c r="J69" s="4" t="str">
        <f>IF(OR(H69="",I69="",D69="",F69="",G69=""),"",CONCATENATE('План инф-ции (титул)'!$P$6,".",LEFT(H69,1),".",B69))</f>
        <v/>
      </c>
      <c r="K69" s="5"/>
      <c r="L69" s="1"/>
      <c r="M69" s="1"/>
      <c r="N69" s="1"/>
      <c r="O69" s="1"/>
      <c r="P69" s="1"/>
    </row>
    <row r="70" spans="1:16" x14ac:dyDescent="0.25">
      <c r="A70" s="4" t="e">
        <f t="shared" si="3"/>
        <v>#VALUE!</v>
      </c>
      <c r="B70" s="4" t="e">
        <f>IF(AND(A70=63,'План инф-ции (титул)'!$N$6&lt;&gt;""),"063П","063")</f>
        <v>#VALUE!</v>
      </c>
      <c r="D70" s="1"/>
      <c r="F70" s="11"/>
      <c r="G70" s="11"/>
      <c r="I70" s="1" t="str">
        <f t="shared" si="4"/>
        <v xml:space="preserve"> </v>
      </c>
      <c r="J70" s="4" t="str">
        <f>IF(OR(H70="",I70="",D70="",F70="",G70=""),"",CONCATENATE('План инф-ции (титул)'!$P$6,".",LEFT(H70,1),".",B70))</f>
        <v/>
      </c>
      <c r="K70" s="5"/>
      <c r="L70" s="1"/>
      <c r="M70" s="1"/>
      <c r="N70" s="1"/>
      <c r="O70" s="1"/>
      <c r="P70" s="1"/>
    </row>
    <row r="71" spans="1:16" x14ac:dyDescent="0.25">
      <c r="A71" s="4" t="e">
        <f t="shared" si="3"/>
        <v>#VALUE!</v>
      </c>
      <c r="B71" s="4" t="e">
        <f>IF(AND(A71=64,'План инф-ции (титул)'!$N$6&lt;&gt;""),"064П","064")</f>
        <v>#VALUE!</v>
      </c>
      <c r="D71" s="1"/>
      <c r="F71" s="11"/>
      <c r="G71" s="11"/>
      <c r="I71" s="1" t="str">
        <f t="shared" si="4"/>
        <v xml:space="preserve"> </v>
      </c>
      <c r="J71" s="4" t="str">
        <f>IF(OR(H71="",I71="",D71="",F71="",G71=""),"",CONCATENATE('План инф-ции (титул)'!$P$6,".",LEFT(H71,1),".",B71))</f>
        <v/>
      </c>
      <c r="K71" s="5"/>
      <c r="L71" s="1"/>
      <c r="M71" s="1"/>
      <c r="N71" s="1"/>
      <c r="O71" s="1"/>
      <c r="P71" s="1"/>
    </row>
    <row r="72" spans="1:16" x14ac:dyDescent="0.25">
      <c r="A72" s="4" t="e">
        <f t="shared" si="3"/>
        <v>#VALUE!</v>
      </c>
      <c r="B72" s="4" t="e">
        <f>IF(AND(A72=65,'План инф-ции (титул)'!$N$6&lt;&gt;""),"065П","065")</f>
        <v>#VALUE!</v>
      </c>
      <c r="D72" s="1"/>
      <c r="F72" s="11"/>
      <c r="G72" s="11"/>
      <c r="I72" s="1" t="str">
        <f t="shared" si="4"/>
        <v xml:space="preserve"> </v>
      </c>
      <c r="J72" s="4" t="str">
        <f>IF(OR(H72="",I72="",D72="",F72="",G72=""),"",CONCATENATE('План инф-ции (титул)'!$P$6,".",LEFT(H72,1),".",B72))</f>
        <v/>
      </c>
      <c r="K72" s="5"/>
      <c r="L72" s="1"/>
      <c r="M72" s="1"/>
      <c r="N72" s="1"/>
      <c r="O72" s="1"/>
      <c r="P72" s="1"/>
    </row>
    <row r="73" spans="1:16" x14ac:dyDescent="0.25">
      <c r="A73" s="4" t="e">
        <f t="shared" ref="A73:A104" si="5">IF(I73="","",A72+1)</f>
        <v>#VALUE!</v>
      </c>
      <c r="B73" s="4" t="e">
        <f>IF(AND(A73=66,'План инф-ции (титул)'!$N$6&lt;&gt;""),"066П","066")</f>
        <v>#VALUE!</v>
      </c>
      <c r="D73" s="1"/>
      <c r="F73" s="11"/>
      <c r="G73" s="11"/>
      <c r="I73" s="1" t="str">
        <f t="shared" si="4"/>
        <v xml:space="preserve"> </v>
      </c>
      <c r="J73" s="4" t="str">
        <f>IF(OR(H73="",I73="",D73="",F73="",G73=""),"",CONCATENATE('План инф-ции (титул)'!$P$6,".",LEFT(H73,1),".",B73))</f>
        <v/>
      </c>
      <c r="K73" s="5"/>
      <c r="L73" s="1"/>
      <c r="M73" s="1"/>
      <c r="N73" s="1"/>
      <c r="O73" s="1"/>
      <c r="P73" s="1"/>
    </row>
    <row r="74" spans="1:16" x14ac:dyDescent="0.25">
      <c r="A74" s="4" t="e">
        <f t="shared" si="5"/>
        <v>#VALUE!</v>
      </c>
      <c r="B74" s="4" t="e">
        <f>IF(AND(A74=67,'План инф-ции (титул)'!$N$6&lt;&gt;""),"067П","067")</f>
        <v>#VALUE!</v>
      </c>
      <c r="D74" s="1"/>
      <c r="F74" s="11"/>
      <c r="G74" s="11"/>
      <c r="I74" s="1" t="str">
        <f t="shared" si="4"/>
        <v xml:space="preserve"> </v>
      </c>
      <c r="J74" s="4" t="str">
        <f>IF(OR(H74="",I74="",D74="",F74="",G74=""),"",CONCATENATE('План инф-ции (титул)'!$P$6,".",LEFT(H74,1),".",B74))</f>
        <v/>
      </c>
      <c r="K74" s="5"/>
      <c r="L74" s="1"/>
      <c r="M74" s="1"/>
      <c r="N74" s="1"/>
      <c r="O74" s="1"/>
      <c r="P74" s="1"/>
    </row>
    <row r="75" spans="1:16" x14ac:dyDescent="0.25">
      <c r="A75" s="4" t="e">
        <f t="shared" si="5"/>
        <v>#VALUE!</v>
      </c>
      <c r="B75" s="4" t="e">
        <f>IF(AND(A75=68,'План инф-ции (титул)'!$N$6&lt;&gt;""),"068П","068")</f>
        <v>#VALUE!</v>
      </c>
      <c r="D75" s="1"/>
      <c r="F75" s="11"/>
      <c r="G75" s="11"/>
      <c r="I75" s="1" t="str">
        <f t="shared" si="4"/>
        <v xml:space="preserve"> </v>
      </c>
      <c r="J75" s="4" t="str">
        <f>IF(OR(H75="",I75="",D75="",F75="",G75=""),"",CONCATENATE('План инф-ции (титул)'!$P$6,".",LEFT(H75,1),".",B75))</f>
        <v/>
      </c>
      <c r="K75" s="5"/>
      <c r="L75" s="1"/>
      <c r="M75" s="1"/>
      <c r="N75" s="1"/>
      <c r="O75" s="1"/>
      <c r="P75" s="1"/>
    </row>
    <row r="76" spans="1:16" x14ac:dyDescent="0.25">
      <c r="A76" s="4" t="e">
        <f t="shared" si="5"/>
        <v>#VALUE!</v>
      </c>
      <c r="B76" s="4" t="e">
        <f>IF(AND(A76=69,'План инф-ции (титул)'!$N$6&lt;&gt;""),"069П","069")</f>
        <v>#VALUE!</v>
      </c>
      <c r="D76" s="1"/>
      <c r="F76" s="11"/>
      <c r="G76" s="11"/>
      <c r="I76" s="1" t="str">
        <f t="shared" si="4"/>
        <v xml:space="preserve"> </v>
      </c>
      <c r="J76" s="4" t="str">
        <f>IF(OR(H76="",I76="",D76="",F76="",G76=""),"",CONCATENATE('План инф-ции (титул)'!$P$6,".",LEFT(H76,1),".",B76))</f>
        <v/>
      </c>
      <c r="K76" s="5"/>
      <c r="L76" s="1"/>
      <c r="M76" s="1"/>
      <c r="N76" s="1"/>
      <c r="O76" s="1"/>
      <c r="P76" s="1"/>
    </row>
    <row r="77" spans="1:16" x14ac:dyDescent="0.25">
      <c r="A77" s="4" t="e">
        <f t="shared" si="5"/>
        <v>#VALUE!</v>
      </c>
      <c r="B77" s="4" t="e">
        <f>IF(AND(A77=70,'План инф-ции (титул)'!$N$6&lt;&gt;""),"070П","070")</f>
        <v>#VALUE!</v>
      </c>
      <c r="D77" s="1"/>
      <c r="F77" s="11"/>
      <c r="G77" s="11"/>
      <c r="I77" s="1" t="str">
        <f t="shared" si="4"/>
        <v xml:space="preserve"> </v>
      </c>
      <c r="J77" s="4" t="str">
        <f>IF(OR(H77="",I77="",D77="",F77="",G77=""),"",CONCATENATE('План инф-ции (титул)'!$P$6,".",LEFT(H77,1),".",B77))</f>
        <v/>
      </c>
      <c r="K77" s="5"/>
      <c r="L77" s="1"/>
      <c r="M77" s="1"/>
      <c r="N77" s="1"/>
      <c r="O77" s="1"/>
      <c r="P77" s="1"/>
    </row>
    <row r="78" spans="1:16" x14ac:dyDescent="0.25">
      <c r="A78" s="4" t="e">
        <f t="shared" si="5"/>
        <v>#VALUE!</v>
      </c>
      <c r="B78" s="4" t="e">
        <f>IF(AND(A78=71,'План инф-ции (титул)'!$N$6&lt;&gt;""),"071П","071")</f>
        <v>#VALUE!</v>
      </c>
      <c r="D78" s="1"/>
      <c r="F78" s="11"/>
      <c r="G78" s="11"/>
      <c r="I78" s="1" t="str">
        <f t="shared" si="4"/>
        <v xml:space="preserve"> </v>
      </c>
      <c r="J78" s="4" t="str">
        <f>IF(OR(H78="",I78="",D78="",F78="",G78=""),"",CONCATENATE('План инф-ции (титул)'!$P$6,".",LEFT(H78,1),".",B78))</f>
        <v/>
      </c>
      <c r="K78" s="5"/>
      <c r="L78" s="1"/>
      <c r="M78" s="1"/>
      <c r="N78" s="1"/>
      <c r="O78" s="1"/>
      <c r="P78" s="1"/>
    </row>
    <row r="79" spans="1:16" x14ac:dyDescent="0.25">
      <c r="A79" s="4" t="e">
        <f t="shared" si="5"/>
        <v>#VALUE!</v>
      </c>
      <c r="B79" s="4" t="e">
        <f>IF(AND(A79=72,'План инф-ции (титул)'!$N$6&lt;&gt;""),"072П","072")</f>
        <v>#VALUE!</v>
      </c>
      <c r="D79" s="1"/>
      <c r="F79" s="11"/>
      <c r="G79" s="11"/>
      <c r="I79" s="1" t="str">
        <f t="shared" si="4"/>
        <v xml:space="preserve"> </v>
      </c>
      <c r="J79" s="4" t="str">
        <f>IF(OR(H79="",I79="",D79="",F79="",G79=""),"",CONCATENATE('План инф-ции (титул)'!$P$6,".",LEFT(H79,1),".",B79))</f>
        <v/>
      </c>
      <c r="K79" s="5"/>
      <c r="L79" s="1"/>
      <c r="M79" s="1"/>
      <c r="N79" s="1"/>
      <c r="O79" s="1"/>
      <c r="P79" s="1"/>
    </row>
    <row r="80" spans="1:16" x14ac:dyDescent="0.25">
      <c r="A80" s="4" t="e">
        <f t="shared" si="5"/>
        <v>#VALUE!</v>
      </c>
      <c r="B80" s="4" t="e">
        <f>IF(AND(A80=73,'План инф-ции (титул)'!$N$6&lt;&gt;""),"073П","073")</f>
        <v>#VALUE!</v>
      </c>
      <c r="D80" s="1"/>
      <c r="F80" s="11"/>
      <c r="G80" s="11"/>
      <c r="I80" s="1" t="str">
        <f t="shared" si="4"/>
        <v xml:space="preserve"> </v>
      </c>
      <c r="J80" s="4" t="str">
        <f>IF(OR(H80="",I80="",D80="",F80="",G80=""),"",CONCATENATE('План инф-ции (титул)'!$P$6,".",LEFT(H80,1),".",B80))</f>
        <v/>
      </c>
      <c r="K80" s="5"/>
      <c r="L80" s="1"/>
      <c r="M80" s="1"/>
      <c r="N80" s="1"/>
      <c r="O80" s="1"/>
      <c r="P80" s="1"/>
    </row>
    <row r="81" spans="1:16" x14ac:dyDescent="0.25">
      <c r="A81" s="4" t="e">
        <f t="shared" si="5"/>
        <v>#VALUE!</v>
      </c>
      <c r="B81" s="4" t="e">
        <f>IF(AND(A81=74,'План инф-ции (титул)'!$N$6&lt;&gt;""),"074П","074")</f>
        <v>#VALUE!</v>
      </c>
      <c r="D81" s="1"/>
      <c r="F81" s="11"/>
      <c r="G81" s="11"/>
      <c r="I81" s="1" t="str">
        <f t="shared" si="4"/>
        <v xml:space="preserve"> </v>
      </c>
      <c r="J81" s="4" t="str">
        <f>IF(OR(H81="",I81="",D81="",F81="",G81=""),"",CONCATENATE('План инф-ции (титул)'!$P$6,".",LEFT(H81,1),".",B81))</f>
        <v/>
      </c>
      <c r="K81" s="5"/>
      <c r="L81" s="1"/>
      <c r="M81" s="1"/>
      <c r="N81" s="1"/>
      <c r="O81" s="1"/>
      <c r="P81" s="1"/>
    </row>
    <row r="82" spans="1:16" x14ac:dyDescent="0.25">
      <c r="A82" s="4" t="e">
        <f t="shared" si="5"/>
        <v>#VALUE!</v>
      </c>
      <c r="B82" s="4" t="e">
        <f>IF(AND(A82=75,'План инф-ции (титул)'!$N$6&lt;&gt;""),"075П","075")</f>
        <v>#VALUE!</v>
      </c>
      <c r="D82" s="1"/>
      <c r="F82" s="11"/>
      <c r="G82" s="11"/>
      <c r="I82" s="1" t="str">
        <f t="shared" si="4"/>
        <v xml:space="preserve"> </v>
      </c>
      <c r="J82" s="4" t="str">
        <f>IF(OR(H82="",I82="",D82="",F82="",G82=""),"",CONCATENATE('План инф-ции (титул)'!$P$6,".",LEFT(H82,1),".",B82))</f>
        <v/>
      </c>
      <c r="K82" s="5"/>
      <c r="L82" s="1"/>
      <c r="M82" s="1"/>
      <c r="N82" s="1"/>
      <c r="O82" s="1"/>
      <c r="P82" s="1"/>
    </row>
    <row r="83" spans="1:16" x14ac:dyDescent="0.25">
      <c r="A83" s="4" t="e">
        <f t="shared" si="5"/>
        <v>#VALUE!</v>
      </c>
      <c r="B83" s="4" t="e">
        <f>IF(AND(A83=76,'План инф-ции (титул)'!$N$6&lt;&gt;""),"076П","076")</f>
        <v>#VALUE!</v>
      </c>
      <c r="D83" s="1"/>
      <c r="F83" s="11"/>
      <c r="G83" s="11"/>
      <c r="I83" s="1" t="str">
        <f t="shared" si="4"/>
        <v xml:space="preserve"> </v>
      </c>
      <c r="J83" s="4" t="str">
        <f>IF(OR(H83="",I83="",D83="",F83="",G83=""),"",CONCATENATE('План инф-ции (титул)'!$P$6,".",LEFT(H83,1),".",B83))</f>
        <v/>
      </c>
      <c r="K83" s="5"/>
      <c r="L83" s="1"/>
      <c r="M83" s="1"/>
      <c r="N83" s="1"/>
      <c r="O83" s="1"/>
      <c r="P83" s="1"/>
    </row>
    <row r="84" spans="1:16" x14ac:dyDescent="0.25">
      <c r="A84" s="4" t="e">
        <f t="shared" si="5"/>
        <v>#VALUE!</v>
      </c>
      <c r="B84" s="4" t="e">
        <f>IF(AND(A84=77,'План инф-ции (титул)'!$N$6&lt;&gt;""),"077П","077")</f>
        <v>#VALUE!</v>
      </c>
      <c r="D84" s="1"/>
      <c r="F84" s="11"/>
      <c r="G84" s="11"/>
      <c r="I84" s="1" t="str">
        <f t="shared" si="4"/>
        <v xml:space="preserve"> </v>
      </c>
      <c r="J84" s="4" t="str">
        <f>IF(OR(H84="",I84="",D84="",F84="",G84=""),"",CONCATENATE('План инф-ции (титул)'!$P$6,".",LEFT(H84,1),".",B84))</f>
        <v/>
      </c>
      <c r="K84" s="5"/>
      <c r="L84" s="1"/>
      <c r="M84" s="1"/>
      <c r="N84" s="1"/>
      <c r="O84" s="1"/>
      <c r="P84" s="1"/>
    </row>
    <row r="85" spans="1:16" x14ac:dyDescent="0.25">
      <c r="A85" s="4" t="e">
        <f t="shared" si="5"/>
        <v>#VALUE!</v>
      </c>
      <c r="B85" s="4" t="e">
        <f>IF(AND(A85=78,'План инф-ции (титул)'!$N$6&lt;&gt;""),"078П","078")</f>
        <v>#VALUE!</v>
      </c>
      <c r="D85" s="1"/>
      <c r="F85" s="11"/>
      <c r="G85" s="11"/>
      <c r="I85" s="1" t="str">
        <f t="shared" si="4"/>
        <v xml:space="preserve"> </v>
      </c>
      <c r="J85" s="4" t="str">
        <f>IF(OR(H85="",I85="",D85="",F85="",G85=""),"",CONCATENATE('План инф-ции (титул)'!$P$6,".",LEFT(H85,1),".",B85))</f>
        <v/>
      </c>
      <c r="K85" s="5"/>
      <c r="L85" s="1"/>
      <c r="M85" s="1"/>
      <c r="N85" s="1"/>
      <c r="O85" s="1"/>
      <c r="P85" s="1"/>
    </row>
    <row r="86" spans="1:16" x14ac:dyDescent="0.25">
      <c r="A86" s="4" t="e">
        <f t="shared" si="5"/>
        <v>#VALUE!</v>
      </c>
      <c r="B86" s="4" t="e">
        <f>IF(AND(A86=79,'План инф-ции (титул)'!$N$6&lt;&gt;""),"079П","079")</f>
        <v>#VALUE!</v>
      </c>
      <c r="D86" s="1"/>
      <c r="F86" s="11"/>
      <c r="G86" s="11"/>
      <c r="I86" s="1" t="str">
        <f t="shared" si="4"/>
        <v xml:space="preserve"> </v>
      </c>
      <c r="J86" s="4" t="str">
        <f>IF(OR(H86="",I86="",D86="",F86="",G86=""),"",CONCATENATE('План инф-ции (титул)'!$P$6,".",LEFT(H86,1),".",B86))</f>
        <v/>
      </c>
      <c r="K86" s="5"/>
      <c r="L86" s="1"/>
      <c r="M86" s="1"/>
      <c r="N86" s="1"/>
      <c r="O86" s="1"/>
      <c r="P86" s="1"/>
    </row>
    <row r="87" spans="1:16" x14ac:dyDescent="0.25">
      <c r="A87" s="4" t="e">
        <f t="shared" si="5"/>
        <v>#VALUE!</v>
      </c>
      <c r="B87" s="4" t="e">
        <f>IF(AND(A87=80,'План инф-ции (титул)'!$N$6&lt;&gt;""),"080П","080")</f>
        <v>#VALUE!</v>
      </c>
      <c r="D87" s="1"/>
      <c r="F87" s="11"/>
      <c r="G87" s="11"/>
      <c r="I87" s="1" t="str">
        <f t="shared" si="4"/>
        <v xml:space="preserve"> </v>
      </c>
      <c r="J87" s="4" t="str">
        <f>IF(OR(H87="",I87="",D87="",F87="",G87=""),"",CONCATENATE('План инф-ции (титул)'!$P$6,".",LEFT(H87,1),".",B87))</f>
        <v/>
      </c>
      <c r="K87" s="5"/>
      <c r="L87" s="1"/>
      <c r="M87" s="1"/>
      <c r="N87" s="1"/>
      <c r="O87" s="1"/>
      <c r="P87" s="1"/>
    </row>
    <row r="88" spans="1:16" x14ac:dyDescent="0.25">
      <c r="A88" s="4" t="e">
        <f t="shared" si="5"/>
        <v>#VALUE!</v>
      </c>
      <c r="B88" s="4" t="e">
        <f>IF(AND(A88=81,'План инф-ции (титул)'!$N$6&lt;&gt;""),"081П","081")</f>
        <v>#VALUE!</v>
      </c>
      <c r="D88" s="1"/>
      <c r="F88" s="11"/>
      <c r="G88" s="11"/>
      <c r="I88" s="1" t="str">
        <f t="shared" si="4"/>
        <v xml:space="preserve"> </v>
      </c>
      <c r="J88" s="4" t="str">
        <f>IF(OR(H88="",I88="",D88="",F88="",G88=""),"",CONCATENATE('План инф-ции (титул)'!$P$6,".",LEFT(H88,1),".",B88))</f>
        <v/>
      </c>
      <c r="K88" s="5"/>
      <c r="L88" s="1"/>
      <c r="M88" s="1"/>
      <c r="N88" s="1"/>
      <c r="O88" s="1"/>
      <c r="P88" s="1"/>
    </row>
    <row r="89" spans="1:16" x14ac:dyDescent="0.25">
      <c r="A89" s="4" t="e">
        <f t="shared" si="5"/>
        <v>#VALUE!</v>
      </c>
      <c r="B89" s="4" t="e">
        <f>IF(AND(A89=82,'План инф-ции (титул)'!$N$6&lt;&gt;""),"082П","082")</f>
        <v>#VALUE!</v>
      </c>
      <c r="D89" s="1"/>
      <c r="F89" s="11"/>
      <c r="G89" s="11"/>
      <c r="I89" s="1" t="str">
        <f t="shared" ref="I89:I120" si="6">CONCATENATE(H89," ",D89)</f>
        <v xml:space="preserve"> </v>
      </c>
      <c r="J89" s="4" t="str">
        <f>IF(OR(H89="",I89="",D89="",F89="",G89=""),"",CONCATENATE('План инф-ции (титул)'!$P$6,".",LEFT(H89,1),".",B89))</f>
        <v/>
      </c>
      <c r="K89" s="5"/>
      <c r="L89" s="1"/>
      <c r="M89" s="1"/>
      <c r="N89" s="1"/>
      <c r="O89" s="1"/>
      <c r="P89" s="1"/>
    </row>
    <row r="90" spans="1:16" x14ac:dyDescent="0.25">
      <c r="A90" s="4" t="e">
        <f t="shared" si="5"/>
        <v>#VALUE!</v>
      </c>
      <c r="B90" s="4" t="e">
        <f>IF(AND(A90=83,'План инф-ции (титул)'!$N$6&lt;&gt;""),"083П","083")</f>
        <v>#VALUE!</v>
      </c>
      <c r="D90" s="1"/>
      <c r="F90" s="11"/>
      <c r="G90" s="11"/>
      <c r="I90" s="1" t="str">
        <f t="shared" si="6"/>
        <v xml:space="preserve"> </v>
      </c>
      <c r="J90" s="4" t="str">
        <f>IF(OR(H90="",I90="",D90="",F90="",G90=""),"",CONCATENATE('План инф-ции (титул)'!$P$6,".",LEFT(H90,1),".",B90))</f>
        <v/>
      </c>
      <c r="K90" s="5"/>
      <c r="L90" s="1"/>
      <c r="M90" s="1"/>
      <c r="N90" s="1"/>
      <c r="O90" s="1"/>
      <c r="P90" s="1"/>
    </row>
    <row r="91" spans="1:16" x14ac:dyDescent="0.25">
      <c r="A91" s="4" t="e">
        <f t="shared" si="5"/>
        <v>#VALUE!</v>
      </c>
      <c r="B91" s="4" t="e">
        <f>IF(AND(A91=84,'План инф-ции (титул)'!$N$6&lt;&gt;""),"084П","084")</f>
        <v>#VALUE!</v>
      </c>
      <c r="D91" s="1"/>
      <c r="F91" s="11"/>
      <c r="G91" s="11"/>
      <c r="I91" s="1" t="str">
        <f t="shared" si="6"/>
        <v xml:space="preserve"> </v>
      </c>
      <c r="J91" s="4" t="str">
        <f>IF(OR(H91="",I91="",D91="",F91="",G91=""),"",CONCATENATE('План инф-ции (титул)'!$P$6,".",LEFT(H91,1),".",B91))</f>
        <v/>
      </c>
      <c r="K91" s="5"/>
      <c r="L91" s="1"/>
      <c r="M91" s="1"/>
      <c r="N91" s="1"/>
      <c r="O91" s="1"/>
      <c r="P91" s="1"/>
    </row>
    <row r="92" spans="1:16" x14ac:dyDescent="0.25">
      <c r="A92" s="4" t="e">
        <f t="shared" si="5"/>
        <v>#VALUE!</v>
      </c>
      <c r="B92" s="4" t="e">
        <f>IF(AND(A92=85,'План инф-ции (титул)'!$N$6&lt;&gt;""),"085П","085")</f>
        <v>#VALUE!</v>
      </c>
      <c r="D92" s="1"/>
      <c r="F92" s="11"/>
      <c r="G92" s="11"/>
      <c r="I92" s="1" t="str">
        <f t="shared" si="6"/>
        <v xml:space="preserve"> </v>
      </c>
      <c r="J92" s="4" t="str">
        <f>IF(OR(H92="",I92="",D92="",F92="",G92=""),"",CONCATENATE('План инф-ции (титул)'!$P$6,".",LEFT(H92,1),".",B92))</f>
        <v/>
      </c>
      <c r="K92" s="5"/>
      <c r="L92" s="1"/>
      <c r="M92" s="1"/>
      <c r="N92" s="1"/>
      <c r="O92" s="1"/>
      <c r="P92" s="1"/>
    </row>
    <row r="93" spans="1:16" x14ac:dyDescent="0.25">
      <c r="A93" s="4" t="e">
        <f t="shared" si="5"/>
        <v>#VALUE!</v>
      </c>
      <c r="B93" s="4" t="e">
        <f>IF(AND(A93=86,'План инф-ции (титул)'!$N$6&lt;&gt;""),"086П","086")</f>
        <v>#VALUE!</v>
      </c>
      <c r="D93" s="1"/>
      <c r="F93" s="11"/>
      <c r="G93" s="11"/>
      <c r="I93" s="1" t="str">
        <f t="shared" si="6"/>
        <v xml:space="preserve"> </v>
      </c>
      <c r="J93" s="4" t="str">
        <f>IF(OR(H93="",I93="",D93="",F93="",G93=""),"",CONCATENATE('План инф-ции (титул)'!$P$6,".",LEFT(H93,1),".",B93))</f>
        <v/>
      </c>
      <c r="K93" s="5"/>
      <c r="L93" s="1"/>
      <c r="M93" s="1"/>
      <c r="N93" s="1"/>
      <c r="O93" s="1"/>
      <c r="P93" s="1"/>
    </row>
    <row r="94" spans="1:16" x14ac:dyDescent="0.25">
      <c r="A94" s="4" t="e">
        <f t="shared" si="5"/>
        <v>#VALUE!</v>
      </c>
      <c r="B94" s="4" t="e">
        <f>IF(AND(A94=87,'План инф-ции (титул)'!$N$6&lt;&gt;""),"087П","087")</f>
        <v>#VALUE!</v>
      </c>
      <c r="D94" s="1"/>
      <c r="F94" s="11"/>
      <c r="G94" s="11"/>
      <c r="I94" s="1" t="str">
        <f t="shared" si="6"/>
        <v xml:space="preserve"> </v>
      </c>
      <c r="J94" s="4" t="str">
        <f>IF(OR(H94="",I94="",D94="",F94="",G94=""),"",CONCATENATE('План инф-ции (титул)'!$P$6,".",LEFT(H94,1),".",B94))</f>
        <v/>
      </c>
      <c r="K94" s="5"/>
      <c r="L94" s="1"/>
      <c r="M94" s="1"/>
      <c r="N94" s="1"/>
      <c r="O94" s="1"/>
      <c r="P94" s="1"/>
    </row>
    <row r="95" spans="1:16" x14ac:dyDescent="0.25">
      <c r="A95" s="4" t="e">
        <f t="shared" si="5"/>
        <v>#VALUE!</v>
      </c>
      <c r="B95" s="4" t="e">
        <f>IF(AND(A95=88,'План инф-ции (титул)'!$N$6&lt;&gt;""),"088П","088")</f>
        <v>#VALUE!</v>
      </c>
      <c r="D95" s="1"/>
      <c r="F95" s="11"/>
      <c r="G95" s="11"/>
      <c r="I95" s="1" t="str">
        <f t="shared" si="6"/>
        <v xml:space="preserve"> </v>
      </c>
      <c r="J95" s="4" t="str">
        <f>IF(OR(H95="",I95="",D95="",F95="",G95=""),"",CONCATENATE('План инф-ции (титул)'!$P$6,".",LEFT(H95,1),".",B95))</f>
        <v/>
      </c>
      <c r="K95" s="5"/>
      <c r="L95" s="1"/>
      <c r="M95" s="1"/>
      <c r="N95" s="1"/>
      <c r="O95" s="1"/>
      <c r="P95" s="1"/>
    </row>
    <row r="96" spans="1:16" x14ac:dyDescent="0.25">
      <c r="A96" s="4" t="e">
        <f t="shared" si="5"/>
        <v>#VALUE!</v>
      </c>
      <c r="B96" s="4" t="e">
        <f>IF(AND(A96=89,'План инф-ции (титул)'!$N$6&lt;&gt;""),"089П","089")</f>
        <v>#VALUE!</v>
      </c>
      <c r="D96" s="1"/>
      <c r="F96" s="11"/>
      <c r="G96" s="11"/>
      <c r="I96" s="1" t="str">
        <f t="shared" si="6"/>
        <v xml:space="preserve"> </v>
      </c>
      <c r="J96" s="4" t="str">
        <f>IF(OR(H96="",I96="",D96="",F96="",G96=""),"",CONCATENATE('План инф-ции (титул)'!$P$6,".",LEFT(H96,1),".",B96))</f>
        <v/>
      </c>
      <c r="K96" s="5"/>
      <c r="L96" s="1"/>
      <c r="M96" s="1"/>
      <c r="N96" s="1"/>
      <c r="O96" s="1"/>
      <c r="P96" s="1"/>
    </row>
    <row r="97" spans="1:16" x14ac:dyDescent="0.25">
      <c r="A97" s="4" t="e">
        <f t="shared" si="5"/>
        <v>#VALUE!</v>
      </c>
      <c r="B97" s="4" t="e">
        <f>IF(AND(A97=90,'План инф-ции (титул)'!$N$6&lt;&gt;""),"090П","090")</f>
        <v>#VALUE!</v>
      </c>
      <c r="D97" s="1"/>
      <c r="F97" s="11"/>
      <c r="G97" s="11"/>
      <c r="I97" s="1" t="str">
        <f t="shared" si="6"/>
        <v xml:space="preserve"> </v>
      </c>
      <c r="J97" s="4" t="str">
        <f>IF(OR(H97="",I97="",D97="",F97="",G97=""),"",CONCATENATE('План инф-ции (титул)'!$P$6,".",LEFT(H97,1),".",B97))</f>
        <v/>
      </c>
      <c r="K97" s="5"/>
      <c r="L97" s="1"/>
      <c r="M97" s="1"/>
      <c r="N97" s="1"/>
      <c r="O97" s="1"/>
      <c r="P97" s="1"/>
    </row>
    <row r="98" spans="1:16" x14ac:dyDescent="0.25">
      <c r="A98" s="4" t="e">
        <f t="shared" si="5"/>
        <v>#VALUE!</v>
      </c>
      <c r="B98" s="4" t="e">
        <f>IF(AND(A98=91,'План инф-ции (титул)'!$N$6&lt;&gt;""),"091П","091")</f>
        <v>#VALUE!</v>
      </c>
      <c r="D98" s="1"/>
      <c r="F98" s="11"/>
      <c r="G98" s="11"/>
      <c r="I98" s="1" t="str">
        <f t="shared" si="6"/>
        <v xml:space="preserve"> </v>
      </c>
      <c r="J98" s="4" t="str">
        <f>IF(OR(H98="",I98="",D98="",F98="",G98=""),"",CONCATENATE('План инф-ции (титул)'!$P$6,".",LEFT(H98,1),".",B98))</f>
        <v/>
      </c>
      <c r="K98" s="5"/>
      <c r="L98" s="1"/>
      <c r="M98" s="1"/>
      <c r="N98" s="1"/>
      <c r="O98" s="1"/>
      <c r="P98" s="1"/>
    </row>
    <row r="99" spans="1:16" x14ac:dyDescent="0.25">
      <c r="A99" s="4" t="e">
        <f t="shared" si="5"/>
        <v>#VALUE!</v>
      </c>
      <c r="B99" s="4" t="e">
        <f>IF(AND(A99=92,'План инф-ции (титул)'!$N$6&lt;&gt;""),"092П","092")</f>
        <v>#VALUE!</v>
      </c>
      <c r="D99" s="1"/>
      <c r="F99" s="11"/>
      <c r="G99" s="11"/>
      <c r="I99" s="1" t="str">
        <f t="shared" si="6"/>
        <v xml:space="preserve"> </v>
      </c>
      <c r="J99" s="4" t="str">
        <f>IF(OR(H99="",I99="",D99="",F99="",G99=""),"",CONCATENATE('План инф-ции (титул)'!$P$6,".",LEFT(H99,1),".",B99))</f>
        <v/>
      </c>
      <c r="K99" s="5"/>
      <c r="L99" s="1"/>
      <c r="M99" s="1"/>
      <c r="N99" s="1"/>
      <c r="O99" s="1"/>
      <c r="P99" s="1"/>
    </row>
    <row r="100" spans="1:16" x14ac:dyDescent="0.25">
      <c r="A100" s="4" t="e">
        <f t="shared" si="5"/>
        <v>#VALUE!</v>
      </c>
      <c r="B100" s="4" t="e">
        <f>IF(AND(A100=93,'План инф-ции (титул)'!$N$6&lt;&gt;""),"093П","093")</f>
        <v>#VALUE!</v>
      </c>
      <c r="D100" s="1"/>
      <c r="F100" s="11"/>
      <c r="G100" s="11"/>
      <c r="I100" s="1" t="str">
        <f t="shared" si="6"/>
        <v xml:space="preserve"> </v>
      </c>
      <c r="J100" s="4" t="str">
        <f>IF(OR(H100="",I100="",D100="",F100="",G100=""),"",CONCATENATE('План инф-ции (титул)'!$P$6,".",LEFT(H100,1),".",B100))</f>
        <v/>
      </c>
      <c r="K100" s="5"/>
      <c r="L100" s="1"/>
      <c r="M100" s="1"/>
      <c r="N100" s="1"/>
      <c r="O100" s="1"/>
      <c r="P100" s="1"/>
    </row>
    <row r="101" spans="1:16" x14ac:dyDescent="0.25">
      <c r="A101" s="4" t="e">
        <f t="shared" si="5"/>
        <v>#VALUE!</v>
      </c>
      <c r="B101" s="4" t="e">
        <f>IF(AND(A101=94,'План инф-ции (титул)'!$N$6&lt;&gt;""),"094П","094")</f>
        <v>#VALUE!</v>
      </c>
      <c r="D101" s="1"/>
      <c r="F101" s="11"/>
      <c r="G101" s="11"/>
      <c r="I101" s="1" t="str">
        <f t="shared" si="6"/>
        <v xml:space="preserve"> </v>
      </c>
      <c r="J101" s="4" t="str">
        <f>IF(OR(H101="",I101="",D101="",F101="",G101=""),"",CONCATENATE('План инф-ции (титул)'!$P$6,".",LEFT(H101,1),".",B101))</f>
        <v/>
      </c>
      <c r="K101" s="5"/>
      <c r="L101" s="1"/>
      <c r="M101" s="1"/>
      <c r="N101" s="1"/>
      <c r="O101" s="1"/>
      <c r="P101" s="1"/>
    </row>
    <row r="102" spans="1:16" x14ac:dyDescent="0.25">
      <c r="A102" s="4" t="e">
        <f t="shared" si="5"/>
        <v>#VALUE!</v>
      </c>
      <c r="B102" s="4" t="e">
        <f>IF(AND(A102=95,'План инф-ции (титул)'!$N$6&lt;&gt;""),"095П","095")</f>
        <v>#VALUE!</v>
      </c>
      <c r="D102" s="1"/>
      <c r="F102" s="11"/>
      <c r="G102" s="11"/>
      <c r="I102" s="1" t="str">
        <f t="shared" si="6"/>
        <v xml:space="preserve"> </v>
      </c>
      <c r="J102" s="4" t="str">
        <f>IF(OR(H102="",I102="",D102="",F102="",G102=""),"",CONCATENATE('План инф-ции (титул)'!$P$6,".",LEFT(H102,1),".",B102))</f>
        <v/>
      </c>
      <c r="K102" s="5"/>
      <c r="L102" s="1"/>
      <c r="M102" s="1"/>
      <c r="N102" s="1"/>
      <c r="O102" s="1"/>
      <c r="P102" s="1"/>
    </row>
    <row r="103" spans="1:16" x14ac:dyDescent="0.25">
      <c r="A103" s="4" t="e">
        <f t="shared" si="5"/>
        <v>#VALUE!</v>
      </c>
      <c r="B103" s="4" t="e">
        <f>IF(AND(A103=96,'План инф-ции (титул)'!$N$6&lt;&gt;""),"096П","096")</f>
        <v>#VALUE!</v>
      </c>
      <c r="D103" s="1"/>
      <c r="F103" s="11"/>
      <c r="G103" s="11"/>
      <c r="I103" s="1" t="str">
        <f t="shared" si="6"/>
        <v xml:space="preserve"> </v>
      </c>
      <c r="J103" s="4" t="str">
        <f>IF(OR(H103="",I103="",D103="",F103="",G103=""),"",CONCATENATE('План инф-ции (титул)'!$P$6,".",LEFT(H103,1),".",B103))</f>
        <v/>
      </c>
      <c r="K103" s="5"/>
      <c r="L103" s="1"/>
      <c r="M103" s="1"/>
      <c r="N103" s="1"/>
      <c r="O103" s="1"/>
      <c r="P103" s="1"/>
    </row>
    <row r="104" spans="1:16" x14ac:dyDescent="0.25">
      <c r="A104" s="4" t="e">
        <f t="shared" si="5"/>
        <v>#VALUE!</v>
      </c>
      <c r="B104" s="4" t="e">
        <f>IF(AND(A104=97,'План инф-ции (титул)'!$N$6&lt;&gt;""),"097П","097")</f>
        <v>#VALUE!</v>
      </c>
      <c r="D104" s="1"/>
      <c r="F104" s="11"/>
      <c r="G104" s="11"/>
      <c r="I104" s="1" t="str">
        <f t="shared" si="6"/>
        <v xml:space="preserve"> </v>
      </c>
      <c r="J104" s="4" t="str">
        <f>IF(OR(H104="",I104="",D104="",F104="",G104=""),"",CONCATENATE('План инф-ции (титул)'!$P$6,".",LEFT(H104,1),".",B104))</f>
        <v/>
      </c>
      <c r="K104" s="5"/>
      <c r="L104" s="1"/>
      <c r="M104" s="1"/>
      <c r="N104" s="1"/>
      <c r="O104" s="1"/>
      <c r="P104" s="1"/>
    </row>
    <row r="105" spans="1:16" x14ac:dyDescent="0.25">
      <c r="A105" s="4" t="e">
        <f t="shared" ref="A105:A136" si="7">IF(I105="","",A104+1)</f>
        <v>#VALUE!</v>
      </c>
      <c r="B105" s="4" t="e">
        <f>IF(AND(A105=98,'План инф-ции (титул)'!$N$6&lt;&gt;""),"098П","098")</f>
        <v>#VALUE!</v>
      </c>
      <c r="D105" s="1"/>
      <c r="F105" s="11"/>
      <c r="G105" s="11"/>
      <c r="I105" s="1" t="str">
        <f t="shared" si="6"/>
        <v xml:space="preserve"> </v>
      </c>
      <c r="J105" s="4" t="str">
        <f>IF(OR(H105="",I105="",D105="",F105="",G105=""),"",CONCATENATE('План инф-ции (титул)'!$P$6,".",LEFT(H105,1),".",B105))</f>
        <v/>
      </c>
      <c r="K105" s="5"/>
      <c r="L105" s="1"/>
      <c r="M105" s="1"/>
      <c r="N105" s="1"/>
      <c r="O105" s="1"/>
      <c r="P105" s="1"/>
    </row>
    <row r="106" spans="1:16" x14ac:dyDescent="0.25">
      <c r="A106" s="4" t="e">
        <f t="shared" si="7"/>
        <v>#VALUE!</v>
      </c>
      <c r="B106" s="4" t="e">
        <f>IF(AND(A106=99,'План инф-ции (титул)'!$N$6&lt;&gt;""),"099П","099")</f>
        <v>#VALUE!</v>
      </c>
      <c r="D106" s="1"/>
      <c r="F106" s="11"/>
      <c r="G106" s="11"/>
      <c r="I106" s="1" t="str">
        <f t="shared" si="6"/>
        <v xml:space="preserve"> </v>
      </c>
      <c r="J106" s="4" t="str">
        <f>IF(OR(H106="",I106="",D106="",F106="",G106=""),"",CONCATENATE('План инф-ции (титул)'!$P$6,".",LEFT(H106,1),".",B106))</f>
        <v/>
      </c>
      <c r="K106" s="5"/>
      <c r="L106" s="1"/>
      <c r="M106" s="1"/>
      <c r="N106" s="1"/>
      <c r="O106" s="1"/>
      <c r="P106" s="1"/>
    </row>
    <row r="107" spans="1:16" x14ac:dyDescent="0.25">
      <c r="A107" s="4" t="e">
        <f t="shared" si="7"/>
        <v>#VALUE!</v>
      </c>
      <c r="B107" s="4" t="e">
        <f>IF(AND(A107=100,'План инф-ции (титул)'!$N$6&lt;&gt;""),"100П","100")</f>
        <v>#VALUE!</v>
      </c>
      <c r="D107" s="1"/>
      <c r="F107" s="11"/>
      <c r="G107" s="11"/>
      <c r="I107" s="1" t="str">
        <f t="shared" si="6"/>
        <v xml:space="preserve"> </v>
      </c>
      <c r="J107" s="4" t="str">
        <f>IF(OR(H107="",I107="",D107="",F107="",G107=""),"",CONCATENATE('План инф-ции (титул)'!$P$6,".",LEFT(H107,1),".",B107))</f>
        <v/>
      </c>
      <c r="K107" s="5"/>
      <c r="L107" s="1"/>
      <c r="M107" s="1"/>
      <c r="N107" s="1"/>
      <c r="O107" s="1"/>
      <c r="P107" s="1"/>
    </row>
    <row r="108" spans="1:16" x14ac:dyDescent="0.25">
      <c r="A108" s="4" t="e">
        <f t="shared" si="7"/>
        <v>#VALUE!</v>
      </c>
      <c r="B108" s="4" t="e">
        <f>IF(AND(A108=101,'План инф-ции (титул)'!$N$6&lt;&gt;""),"101П","101")</f>
        <v>#VALUE!</v>
      </c>
      <c r="D108" s="1"/>
      <c r="F108" s="11"/>
      <c r="G108" s="11"/>
      <c r="I108" s="1" t="str">
        <f t="shared" si="6"/>
        <v xml:space="preserve"> </v>
      </c>
      <c r="J108" s="4" t="str">
        <f>IF(OR(H108="",I108="",D108="",F108="",G108=""),"",CONCATENATE('План инф-ции (титул)'!$P$6,".",LEFT(H108,1),".",B108))</f>
        <v/>
      </c>
      <c r="K108" s="5"/>
      <c r="L108" s="1"/>
      <c r="M108" s="1"/>
      <c r="N108" s="1"/>
      <c r="O108" s="1"/>
      <c r="P108" s="1"/>
    </row>
    <row r="109" spans="1:16" x14ac:dyDescent="0.25">
      <c r="A109" s="4" t="e">
        <f t="shared" si="7"/>
        <v>#VALUE!</v>
      </c>
      <c r="B109" s="4" t="e">
        <f>IF(AND(A109=102,'План инф-ции (титул)'!$N$6&lt;&gt;""),"102П","102")</f>
        <v>#VALUE!</v>
      </c>
      <c r="D109" s="1"/>
      <c r="F109" s="11"/>
      <c r="G109" s="11"/>
      <c r="I109" s="1" t="str">
        <f t="shared" si="6"/>
        <v xml:space="preserve"> </v>
      </c>
      <c r="J109" s="4" t="str">
        <f>IF(OR(H109="",I109="",D109="",F109="",G109=""),"",CONCATENATE('План инф-ции (титул)'!$P$6,".",LEFT(H109,1),".",B109))</f>
        <v/>
      </c>
      <c r="K109" s="5"/>
      <c r="L109" s="1"/>
      <c r="M109" s="1"/>
      <c r="N109" s="1"/>
      <c r="O109" s="1"/>
      <c r="P109" s="1"/>
    </row>
    <row r="110" spans="1:16" x14ac:dyDescent="0.25">
      <c r="A110" s="4" t="e">
        <f t="shared" si="7"/>
        <v>#VALUE!</v>
      </c>
      <c r="B110" s="4" t="e">
        <f>IF(AND(A110=103,'План инф-ции (титул)'!$N$6&lt;&gt;""),"103П","103")</f>
        <v>#VALUE!</v>
      </c>
      <c r="D110" s="1"/>
      <c r="F110" s="11"/>
      <c r="G110" s="11"/>
      <c r="I110" s="1" t="str">
        <f t="shared" si="6"/>
        <v xml:space="preserve"> </v>
      </c>
      <c r="J110" s="4" t="str">
        <f>IF(OR(H110="",I110="",D110="",F110="",G110=""),"",CONCATENATE('План инф-ции (титул)'!$P$6,".",LEFT(H110,1),".",B110))</f>
        <v/>
      </c>
      <c r="K110" s="5"/>
      <c r="L110" s="1"/>
      <c r="M110" s="1"/>
      <c r="N110" s="1"/>
      <c r="O110" s="1"/>
      <c r="P110" s="1"/>
    </row>
    <row r="111" spans="1:16" x14ac:dyDescent="0.25">
      <c r="A111" s="4" t="e">
        <f t="shared" si="7"/>
        <v>#VALUE!</v>
      </c>
      <c r="B111" s="4" t="e">
        <f>IF(AND(A111=104,'План инф-ции (титул)'!$N$6&lt;&gt;""),"104П","104")</f>
        <v>#VALUE!</v>
      </c>
      <c r="D111" s="1"/>
      <c r="F111" s="11"/>
      <c r="G111" s="11"/>
      <c r="I111" s="1" t="str">
        <f t="shared" si="6"/>
        <v xml:space="preserve"> </v>
      </c>
      <c r="J111" s="4" t="str">
        <f>IF(OR(H111="",I111="",D111="",F111="",G111=""),"",CONCATENATE('План инф-ции (титул)'!$P$6,".",LEFT(H111,1),".",B111))</f>
        <v/>
      </c>
      <c r="K111" s="5"/>
      <c r="L111" s="1"/>
      <c r="M111" s="1"/>
      <c r="N111" s="1"/>
      <c r="O111" s="1"/>
      <c r="P111" s="1"/>
    </row>
    <row r="112" spans="1:16" x14ac:dyDescent="0.25">
      <c r="A112" s="4" t="e">
        <f t="shared" si="7"/>
        <v>#VALUE!</v>
      </c>
      <c r="B112" s="4" t="e">
        <f>IF(AND(A112=105,'План инф-ции (титул)'!$N$6&lt;&gt;""),"105П","105")</f>
        <v>#VALUE!</v>
      </c>
      <c r="D112" s="1"/>
      <c r="F112" s="11"/>
      <c r="G112" s="11"/>
      <c r="I112" s="1" t="str">
        <f t="shared" si="6"/>
        <v xml:space="preserve"> </v>
      </c>
      <c r="J112" s="4" t="str">
        <f>IF(OR(H112="",I112="",D112="",F112="",G112=""),"",CONCATENATE('План инф-ции (титул)'!$P$6,".",LEFT(H112,1),".",B112))</f>
        <v/>
      </c>
      <c r="K112" s="5"/>
      <c r="L112" s="1"/>
      <c r="M112" s="1"/>
      <c r="N112" s="1"/>
      <c r="O112" s="1"/>
      <c r="P112" s="1"/>
    </row>
    <row r="113" spans="1:16" x14ac:dyDescent="0.25">
      <c r="A113" s="4" t="e">
        <f t="shared" si="7"/>
        <v>#VALUE!</v>
      </c>
      <c r="B113" s="4" t="e">
        <f>IF(AND(A113=106,'План инф-ции (титул)'!$N$6&lt;&gt;""),"106П","106")</f>
        <v>#VALUE!</v>
      </c>
      <c r="D113" s="1"/>
      <c r="F113" s="11"/>
      <c r="G113" s="11"/>
      <c r="I113" s="1" t="str">
        <f t="shared" si="6"/>
        <v xml:space="preserve"> </v>
      </c>
      <c r="J113" s="4" t="str">
        <f>IF(OR(H113="",I113="",D113="",F113="",G113=""),"",CONCATENATE('План инф-ции (титул)'!$P$6,".",LEFT(H113,1),".",B113))</f>
        <v/>
      </c>
      <c r="K113" s="5"/>
      <c r="L113" s="1"/>
      <c r="M113" s="1"/>
      <c r="N113" s="1"/>
      <c r="O113" s="1"/>
      <c r="P113" s="1"/>
    </row>
    <row r="114" spans="1:16" x14ac:dyDescent="0.25">
      <c r="A114" s="4" t="e">
        <f t="shared" si="7"/>
        <v>#VALUE!</v>
      </c>
      <c r="B114" s="4" t="e">
        <f>IF(AND(A114=107,'План инф-ции (титул)'!$N$6&lt;&gt;""),"107П","107")</f>
        <v>#VALUE!</v>
      </c>
      <c r="D114" s="1"/>
      <c r="F114" s="11"/>
      <c r="G114" s="11"/>
      <c r="I114" s="1" t="str">
        <f t="shared" si="6"/>
        <v xml:space="preserve"> </v>
      </c>
      <c r="J114" s="4" t="str">
        <f>IF(OR(H114="",I114="",D114="",F114="",G114=""),"",CONCATENATE('План инф-ции (титул)'!$P$6,".",LEFT(H114,1),".",B114))</f>
        <v/>
      </c>
      <c r="K114" s="5"/>
      <c r="L114" s="1"/>
      <c r="M114" s="1"/>
      <c r="N114" s="1"/>
      <c r="O114" s="1"/>
      <c r="P114" s="1"/>
    </row>
    <row r="115" spans="1:16" x14ac:dyDescent="0.25">
      <c r="A115" s="4" t="e">
        <f t="shared" si="7"/>
        <v>#VALUE!</v>
      </c>
      <c r="B115" s="4" t="e">
        <f>IF(AND(A115=108,'План инф-ции (титул)'!$N$6&lt;&gt;""),"108П","108")</f>
        <v>#VALUE!</v>
      </c>
      <c r="D115" s="1"/>
      <c r="F115" s="11"/>
      <c r="G115" s="11"/>
      <c r="I115" s="1" t="str">
        <f t="shared" si="6"/>
        <v xml:space="preserve"> </v>
      </c>
      <c r="J115" s="4" t="str">
        <f>IF(OR(H115="",I115="",D115="",F115="",G115=""),"",CONCATENATE('План инф-ции (титул)'!$P$6,".",LEFT(H115,1),".",B115))</f>
        <v/>
      </c>
      <c r="K115" s="5"/>
      <c r="L115" s="1"/>
      <c r="M115" s="1"/>
      <c r="N115" s="1"/>
      <c r="O115" s="1"/>
      <c r="P115" s="1"/>
    </row>
    <row r="116" spans="1:16" x14ac:dyDescent="0.25">
      <c r="A116" s="4" t="e">
        <f t="shared" si="7"/>
        <v>#VALUE!</v>
      </c>
      <c r="B116" s="4" t="e">
        <f>IF(AND(A116=109,'План инф-ции (титул)'!$N$6&lt;&gt;""),"109П","109")</f>
        <v>#VALUE!</v>
      </c>
      <c r="D116" s="1"/>
      <c r="F116" s="11"/>
      <c r="G116" s="11"/>
      <c r="I116" s="1" t="str">
        <f t="shared" si="6"/>
        <v xml:space="preserve"> </v>
      </c>
      <c r="J116" s="4" t="str">
        <f>IF(OR(H116="",I116="",D116="",F116="",G116=""),"",CONCATENATE('План инф-ции (титул)'!$P$6,".",LEFT(H116,1),".",B116))</f>
        <v/>
      </c>
      <c r="K116" s="5"/>
      <c r="L116" s="1"/>
      <c r="M116" s="1"/>
      <c r="N116" s="1"/>
      <c r="O116" s="1"/>
      <c r="P116" s="1"/>
    </row>
    <row r="117" spans="1:16" x14ac:dyDescent="0.25">
      <c r="A117" s="4" t="e">
        <f t="shared" si="7"/>
        <v>#VALUE!</v>
      </c>
      <c r="B117" s="4" t="e">
        <f>IF(AND(A117=110,'План инф-ции (титул)'!$N$6&lt;&gt;""),"110П","110")</f>
        <v>#VALUE!</v>
      </c>
      <c r="D117" s="1"/>
      <c r="F117" s="11"/>
      <c r="G117" s="11"/>
      <c r="I117" s="1" t="str">
        <f t="shared" si="6"/>
        <v xml:space="preserve"> </v>
      </c>
      <c r="J117" s="4" t="str">
        <f>IF(OR(H117="",I117="",D117="",F117="",G117=""),"",CONCATENATE('План инф-ции (титул)'!$P$6,".",LEFT(H117,1),".",B117))</f>
        <v/>
      </c>
      <c r="K117" s="5"/>
      <c r="L117" s="1"/>
      <c r="M117" s="1"/>
      <c r="N117" s="1"/>
      <c r="O117" s="1"/>
      <c r="P117" s="1"/>
    </row>
    <row r="118" spans="1:16" x14ac:dyDescent="0.25">
      <c r="A118" s="4" t="e">
        <f t="shared" si="7"/>
        <v>#VALUE!</v>
      </c>
      <c r="B118" s="4" t="e">
        <f>IF(AND(A118=111,'План инф-ции (титул)'!$N$6&lt;&gt;""),"111П","111")</f>
        <v>#VALUE!</v>
      </c>
      <c r="D118" s="1"/>
      <c r="F118" s="11"/>
      <c r="G118" s="11"/>
      <c r="I118" s="1" t="str">
        <f t="shared" si="6"/>
        <v xml:space="preserve"> </v>
      </c>
      <c r="J118" s="4" t="str">
        <f>IF(OR(H118="",I118="",D118="",F118="",G118=""),"",CONCATENATE('План инф-ции (титул)'!$P$6,".",LEFT(H118,1),".",B118))</f>
        <v/>
      </c>
      <c r="K118" s="5"/>
      <c r="L118" s="1"/>
      <c r="M118" s="1"/>
      <c r="N118" s="1"/>
      <c r="O118" s="1"/>
      <c r="P118" s="1"/>
    </row>
    <row r="119" spans="1:16" x14ac:dyDescent="0.25">
      <c r="A119" s="4" t="e">
        <f t="shared" si="7"/>
        <v>#VALUE!</v>
      </c>
      <c r="B119" s="4" t="e">
        <f>IF(AND(A119=112,'План инф-ции (титул)'!$N$6&lt;&gt;""),"112П","112")</f>
        <v>#VALUE!</v>
      </c>
      <c r="D119" s="1"/>
      <c r="F119" s="11"/>
      <c r="G119" s="11"/>
      <c r="I119" s="1" t="str">
        <f t="shared" si="6"/>
        <v xml:space="preserve"> </v>
      </c>
      <c r="J119" s="4" t="str">
        <f>IF(OR(H119="",I119="",D119="",F119="",G119=""),"",CONCATENATE('План инф-ции (титул)'!$P$6,".",LEFT(H119,1),".",B119))</f>
        <v/>
      </c>
      <c r="K119" s="5"/>
      <c r="L119" s="1"/>
      <c r="M119" s="1"/>
      <c r="N119" s="1"/>
      <c r="O119" s="1"/>
      <c r="P119" s="1"/>
    </row>
    <row r="120" spans="1:16" x14ac:dyDescent="0.25">
      <c r="A120" s="4" t="e">
        <f t="shared" si="7"/>
        <v>#VALUE!</v>
      </c>
      <c r="B120" s="4" t="e">
        <f>IF(AND(A120=113,'План инф-ции (титул)'!$N$6&lt;&gt;""),"113П","113")</f>
        <v>#VALUE!</v>
      </c>
      <c r="D120" s="1"/>
      <c r="F120" s="11"/>
      <c r="G120" s="11"/>
      <c r="I120" s="1" t="str">
        <f t="shared" si="6"/>
        <v xml:space="preserve"> </v>
      </c>
      <c r="J120" s="4" t="str">
        <f>IF(OR(H120="",I120="",D120="",F120="",G120=""),"",CONCATENATE('План инф-ции (титул)'!$P$6,".",LEFT(H120,1),".",B120))</f>
        <v/>
      </c>
      <c r="K120" s="5"/>
      <c r="L120" s="1"/>
      <c r="M120" s="1"/>
      <c r="N120" s="1"/>
      <c r="O120" s="1"/>
      <c r="P120" s="1"/>
    </row>
    <row r="121" spans="1:16" x14ac:dyDescent="0.25">
      <c r="A121" s="4" t="e">
        <f t="shared" si="7"/>
        <v>#VALUE!</v>
      </c>
      <c r="B121" s="4" t="e">
        <f>IF(AND(A121=114,'План инф-ции (титул)'!$N$6&lt;&gt;""),"114П","114")</f>
        <v>#VALUE!</v>
      </c>
      <c r="D121" s="1"/>
      <c r="F121" s="11"/>
      <c r="G121" s="11"/>
      <c r="I121" s="1" t="str">
        <f t="shared" ref="I121:I152" si="8">CONCATENATE(H121," ",D121)</f>
        <v xml:space="preserve"> </v>
      </c>
      <c r="J121" s="4" t="str">
        <f>IF(OR(H121="",I121="",D121="",F121="",G121=""),"",CONCATENATE('План инф-ции (титул)'!$P$6,".",LEFT(H121,1),".",B121))</f>
        <v/>
      </c>
      <c r="K121" s="5"/>
      <c r="L121" s="1"/>
      <c r="M121" s="1"/>
      <c r="N121" s="1"/>
      <c r="O121" s="1"/>
      <c r="P121" s="1"/>
    </row>
    <row r="122" spans="1:16" x14ac:dyDescent="0.25">
      <c r="A122" s="4" t="e">
        <f t="shared" si="7"/>
        <v>#VALUE!</v>
      </c>
      <c r="B122" s="4" t="e">
        <f>IF(AND(A122=115,'План инф-ции (титул)'!$N$6&lt;&gt;""),"115П","115")</f>
        <v>#VALUE!</v>
      </c>
      <c r="D122" s="1"/>
      <c r="F122" s="11"/>
      <c r="G122" s="11"/>
      <c r="I122" s="1" t="str">
        <f t="shared" si="8"/>
        <v xml:space="preserve"> </v>
      </c>
      <c r="J122" s="4" t="str">
        <f>IF(OR(H122="",I122="",D122="",F122="",G122=""),"",CONCATENATE('План инф-ции (титул)'!$P$6,".",LEFT(H122,1),".",B122))</f>
        <v/>
      </c>
      <c r="K122" s="5"/>
      <c r="L122" s="1"/>
      <c r="M122" s="1"/>
      <c r="N122" s="1"/>
      <c r="O122" s="1"/>
      <c r="P122" s="1"/>
    </row>
    <row r="123" spans="1:16" x14ac:dyDescent="0.25">
      <c r="A123" s="4" t="e">
        <f t="shared" si="7"/>
        <v>#VALUE!</v>
      </c>
      <c r="B123" s="4" t="e">
        <f>IF(AND(A123=116,'План инф-ции (титул)'!$N$6&lt;&gt;""),"116П","116")</f>
        <v>#VALUE!</v>
      </c>
      <c r="D123" s="1"/>
      <c r="F123" s="11"/>
      <c r="G123" s="11"/>
      <c r="I123" s="1" t="str">
        <f t="shared" si="8"/>
        <v xml:space="preserve"> </v>
      </c>
      <c r="J123" s="4" t="str">
        <f>IF(OR(H123="",I123="",D123="",F123="",G123=""),"",CONCATENATE('План инф-ции (титул)'!$P$6,".",LEFT(H123,1),".",B123))</f>
        <v/>
      </c>
      <c r="K123" s="5"/>
      <c r="L123" s="1"/>
      <c r="M123" s="1"/>
      <c r="N123" s="1"/>
      <c r="O123" s="1"/>
      <c r="P123" s="1"/>
    </row>
    <row r="124" spans="1:16" x14ac:dyDescent="0.25">
      <c r="A124" s="4" t="e">
        <f t="shared" si="7"/>
        <v>#VALUE!</v>
      </c>
      <c r="B124" s="4" t="e">
        <f>IF(AND(A124=117,'План инф-ции (титул)'!$N$6&lt;&gt;""),"117П","117")</f>
        <v>#VALUE!</v>
      </c>
      <c r="D124" s="1"/>
      <c r="F124" s="11"/>
      <c r="G124" s="11"/>
      <c r="I124" s="1" t="str">
        <f t="shared" si="8"/>
        <v xml:space="preserve"> </v>
      </c>
      <c r="J124" s="4" t="str">
        <f>IF(OR(H124="",I124="",D124="",F124="",G124=""),"",CONCATENATE('План инф-ции (титул)'!$P$6,".",LEFT(H124,1),".",B124))</f>
        <v/>
      </c>
      <c r="K124" s="5"/>
      <c r="L124" s="1"/>
      <c r="M124" s="1"/>
      <c r="N124" s="1"/>
      <c r="O124" s="1"/>
      <c r="P124" s="1"/>
    </row>
    <row r="125" spans="1:16" x14ac:dyDescent="0.25">
      <c r="A125" s="4" t="e">
        <f t="shared" si="7"/>
        <v>#VALUE!</v>
      </c>
      <c r="B125" s="4" t="e">
        <f>IF(AND(A125=118,'План инф-ции (титул)'!$N$6&lt;&gt;""),"118П","118")</f>
        <v>#VALUE!</v>
      </c>
      <c r="D125" s="1"/>
      <c r="F125" s="11"/>
      <c r="G125" s="11"/>
      <c r="I125" s="1" t="str">
        <f t="shared" si="8"/>
        <v xml:space="preserve"> </v>
      </c>
      <c r="J125" s="4" t="str">
        <f>IF(OR(H125="",I125="",D125="",F125="",G125=""),"",CONCATENATE('План инф-ции (титул)'!$P$6,".",LEFT(H125,1),".",B125))</f>
        <v/>
      </c>
      <c r="K125" s="5"/>
      <c r="L125" s="1"/>
      <c r="M125" s="1"/>
      <c r="N125" s="1"/>
      <c r="O125" s="1"/>
      <c r="P125" s="1"/>
    </row>
    <row r="126" spans="1:16" x14ac:dyDescent="0.25">
      <c r="A126" s="4" t="e">
        <f t="shared" si="7"/>
        <v>#VALUE!</v>
      </c>
      <c r="B126" s="4" t="e">
        <f>IF(AND(A126=119,'План инф-ции (титул)'!$N$6&lt;&gt;""),"119П","119")</f>
        <v>#VALUE!</v>
      </c>
      <c r="D126" s="1"/>
      <c r="F126" s="11"/>
      <c r="G126" s="11"/>
      <c r="I126" s="1" t="str">
        <f t="shared" si="8"/>
        <v xml:space="preserve"> </v>
      </c>
      <c r="J126" s="4" t="str">
        <f>IF(OR(H126="",I126="",D126="",F126="",G126=""),"",CONCATENATE('План инф-ции (титул)'!$P$6,".",LEFT(H126,1),".",B126))</f>
        <v/>
      </c>
      <c r="K126" s="5"/>
      <c r="L126" s="1"/>
      <c r="M126" s="1"/>
      <c r="N126" s="1"/>
      <c r="O126" s="1"/>
      <c r="P126" s="1"/>
    </row>
    <row r="127" spans="1:16" x14ac:dyDescent="0.25">
      <c r="A127" s="4" t="e">
        <f t="shared" si="7"/>
        <v>#VALUE!</v>
      </c>
      <c r="B127" s="4" t="e">
        <f>IF(AND(A127=120,'План инф-ции (титул)'!$N$6&lt;&gt;""),"120П","120")</f>
        <v>#VALUE!</v>
      </c>
      <c r="D127" s="1"/>
      <c r="F127" s="11"/>
      <c r="G127" s="11"/>
      <c r="I127" s="1" t="str">
        <f t="shared" si="8"/>
        <v xml:space="preserve"> </v>
      </c>
      <c r="J127" s="4" t="str">
        <f>IF(OR(H127="",I127="",D127="",F127="",G127=""),"",CONCATENATE('План инф-ции (титул)'!$P$6,".",LEFT(H127,1),".",B127))</f>
        <v/>
      </c>
      <c r="K127" s="5"/>
      <c r="L127" s="1"/>
      <c r="M127" s="1"/>
      <c r="N127" s="1"/>
      <c r="O127" s="1"/>
      <c r="P127" s="1"/>
    </row>
    <row r="128" spans="1:16" x14ac:dyDescent="0.25">
      <c r="A128" s="4" t="e">
        <f t="shared" si="7"/>
        <v>#VALUE!</v>
      </c>
      <c r="B128" s="4" t="e">
        <f>IF(AND(A128=121,'План инф-ции (титул)'!$N$6&lt;&gt;""),"121П","121")</f>
        <v>#VALUE!</v>
      </c>
      <c r="D128" s="1"/>
      <c r="F128" s="11"/>
      <c r="G128" s="11"/>
      <c r="I128" s="1" t="str">
        <f t="shared" si="8"/>
        <v xml:space="preserve"> </v>
      </c>
      <c r="J128" s="4" t="str">
        <f>IF(OR(H128="",I128="",D128="",F128="",G128=""),"",CONCATENATE('План инф-ции (титул)'!$P$6,".",LEFT(H128,1),".",B128))</f>
        <v/>
      </c>
      <c r="K128" s="5"/>
      <c r="L128" s="1"/>
      <c r="M128" s="1"/>
      <c r="N128" s="1"/>
      <c r="O128" s="1"/>
      <c r="P128" s="1"/>
    </row>
    <row r="129" spans="1:16" x14ac:dyDescent="0.25">
      <c r="A129" s="4" t="e">
        <f t="shared" si="7"/>
        <v>#VALUE!</v>
      </c>
      <c r="B129" s="4" t="e">
        <f>IF(AND(A129=122,'План инф-ции (титул)'!$N$6&lt;&gt;""),"122П","122")</f>
        <v>#VALUE!</v>
      </c>
      <c r="D129" s="1"/>
      <c r="F129" s="11"/>
      <c r="G129" s="11"/>
      <c r="I129" s="1" t="str">
        <f t="shared" si="8"/>
        <v xml:space="preserve"> </v>
      </c>
      <c r="J129" s="4" t="str">
        <f>IF(OR(H129="",I129="",D129="",F129="",G129=""),"",CONCATENATE('План инф-ции (титул)'!$P$6,".",LEFT(H129,1),".",B129))</f>
        <v/>
      </c>
      <c r="K129" s="5"/>
      <c r="L129" s="1"/>
      <c r="M129" s="1"/>
      <c r="N129" s="1"/>
      <c r="O129" s="1"/>
      <c r="P129" s="1"/>
    </row>
    <row r="130" spans="1:16" x14ac:dyDescent="0.25">
      <c r="A130" s="4" t="e">
        <f t="shared" si="7"/>
        <v>#VALUE!</v>
      </c>
      <c r="B130" s="4" t="e">
        <f>IF(AND(A130=123,'План инф-ции (титул)'!$N$6&lt;&gt;""),"123П","123")</f>
        <v>#VALUE!</v>
      </c>
      <c r="D130" s="1"/>
      <c r="F130" s="11"/>
      <c r="G130" s="11"/>
      <c r="I130" s="1" t="str">
        <f t="shared" si="8"/>
        <v xml:space="preserve"> </v>
      </c>
      <c r="J130" s="4" t="str">
        <f>IF(OR(H130="",I130="",D130="",F130="",G130=""),"",CONCATENATE('План инф-ции (титул)'!$P$6,".",LEFT(H130,1),".",B130))</f>
        <v/>
      </c>
      <c r="K130" s="5"/>
      <c r="L130" s="1"/>
      <c r="M130" s="1"/>
      <c r="N130" s="1"/>
      <c r="O130" s="1"/>
      <c r="P130" s="1"/>
    </row>
    <row r="131" spans="1:16" x14ac:dyDescent="0.25">
      <c r="A131" s="4" t="e">
        <f t="shared" si="7"/>
        <v>#VALUE!</v>
      </c>
      <c r="B131" s="4" t="e">
        <f>IF(AND(A131=124,'План инф-ции (титул)'!$N$6&lt;&gt;""),"124П","124")</f>
        <v>#VALUE!</v>
      </c>
      <c r="D131" s="1"/>
      <c r="F131" s="11"/>
      <c r="G131" s="11"/>
      <c r="I131" s="1" t="str">
        <f t="shared" si="8"/>
        <v xml:space="preserve"> </v>
      </c>
      <c r="J131" s="4" t="str">
        <f>IF(OR(H131="",I131="",D131="",F131="",G131=""),"",CONCATENATE('План инф-ции (титул)'!$P$6,".",LEFT(H131,1),".",B131))</f>
        <v/>
      </c>
      <c r="K131" s="5"/>
      <c r="L131" s="1"/>
      <c r="M131" s="1"/>
      <c r="N131" s="1"/>
      <c r="O131" s="1"/>
      <c r="P131" s="1"/>
    </row>
    <row r="132" spans="1:16" x14ac:dyDescent="0.25">
      <c r="A132" s="4" t="e">
        <f t="shared" si="7"/>
        <v>#VALUE!</v>
      </c>
      <c r="B132" s="4" t="e">
        <f>IF(AND(A132=125,'План инф-ции (титул)'!$N$6&lt;&gt;""),"125П","125")</f>
        <v>#VALUE!</v>
      </c>
      <c r="D132" s="1"/>
      <c r="F132" s="11"/>
      <c r="G132" s="11"/>
      <c r="I132" s="1" t="str">
        <f t="shared" si="8"/>
        <v xml:space="preserve"> </v>
      </c>
      <c r="J132" s="4" t="str">
        <f>IF(OR(H132="",I132="",D132="",F132="",G132=""),"",CONCATENATE('План инф-ции (титул)'!$P$6,".",LEFT(H132,1),".",B132))</f>
        <v/>
      </c>
      <c r="K132" s="5"/>
      <c r="L132" s="1"/>
      <c r="M132" s="1"/>
      <c r="N132" s="1"/>
      <c r="O132" s="1"/>
      <c r="P132" s="1"/>
    </row>
    <row r="133" spans="1:16" x14ac:dyDescent="0.25">
      <c r="A133" s="4" t="e">
        <f t="shared" si="7"/>
        <v>#VALUE!</v>
      </c>
      <c r="B133" s="4" t="e">
        <f>IF(AND(A133=126,'План инф-ции (титул)'!$N$6&lt;&gt;""),"126П","126")</f>
        <v>#VALUE!</v>
      </c>
      <c r="D133" s="1"/>
      <c r="F133" s="11"/>
      <c r="G133" s="11"/>
      <c r="I133" s="1" t="str">
        <f t="shared" si="8"/>
        <v xml:space="preserve"> </v>
      </c>
      <c r="J133" s="4" t="str">
        <f>IF(OR(H133="",I133="",D133="",F133="",G133=""),"",CONCATENATE('План инф-ции (титул)'!$P$6,".",LEFT(H133,1),".",B133))</f>
        <v/>
      </c>
      <c r="K133" s="5"/>
      <c r="L133" s="1"/>
      <c r="M133" s="1"/>
      <c r="N133" s="1"/>
      <c r="O133" s="1"/>
      <c r="P133" s="1"/>
    </row>
    <row r="134" spans="1:16" x14ac:dyDescent="0.25">
      <c r="A134" s="4" t="e">
        <f t="shared" si="7"/>
        <v>#VALUE!</v>
      </c>
      <c r="B134" s="4" t="e">
        <f>IF(AND(A134=127,'План инф-ции (титул)'!$N$6&lt;&gt;""),"127П","127")</f>
        <v>#VALUE!</v>
      </c>
      <c r="D134" s="1"/>
      <c r="F134" s="11"/>
      <c r="G134" s="11"/>
      <c r="I134" s="1" t="str">
        <f t="shared" si="8"/>
        <v xml:space="preserve"> </v>
      </c>
      <c r="J134" s="4" t="str">
        <f>IF(OR(H134="",I134="",D134="",F134="",G134=""),"",CONCATENATE('План инф-ции (титул)'!$P$6,".",LEFT(H134,1),".",B134))</f>
        <v/>
      </c>
      <c r="K134" s="5"/>
      <c r="L134" s="1"/>
      <c r="M134" s="1"/>
      <c r="N134" s="1"/>
      <c r="O134" s="1"/>
      <c r="P134" s="1"/>
    </row>
    <row r="135" spans="1:16" x14ac:dyDescent="0.25">
      <c r="A135" s="4" t="e">
        <f t="shared" si="7"/>
        <v>#VALUE!</v>
      </c>
      <c r="B135" s="4" t="e">
        <f>IF(AND(A135=128,'План инф-ции (титул)'!$N$6&lt;&gt;""),"128П","128")</f>
        <v>#VALUE!</v>
      </c>
      <c r="D135" s="1"/>
      <c r="F135" s="11"/>
      <c r="G135" s="11"/>
      <c r="I135" s="1" t="str">
        <f t="shared" si="8"/>
        <v xml:space="preserve"> </v>
      </c>
      <c r="J135" s="4" t="str">
        <f>IF(OR(H135="",I135="",D135="",F135="",G135=""),"",CONCATENATE('План инф-ции (титул)'!$P$6,".",LEFT(H135,1),".",B135))</f>
        <v/>
      </c>
      <c r="K135" s="5"/>
      <c r="L135" s="1"/>
      <c r="M135" s="1"/>
      <c r="N135" s="1"/>
      <c r="O135" s="1"/>
      <c r="P135" s="1"/>
    </row>
    <row r="136" spans="1:16" x14ac:dyDescent="0.25">
      <c r="A136" s="4" t="e">
        <f t="shared" si="7"/>
        <v>#VALUE!</v>
      </c>
      <c r="B136" s="4" t="e">
        <f>IF(AND(A136=129,'План инф-ции (титул)'!$N$6&lt;&gt;""),"129П","129")</f>
        <v>#VALUE!</v>
      </c>
      <c r="D136" s="1"/>
      <c r="F136" s="11"/>
      <c r="G136" s="11"/>
      <c r="I136" s="1" t="str">
        <f t="shared" si="8"/>
        <v xml:space="preserve"> </v>
      </c>
      <c r="J136" s="4" t="str">
        <f>IF(OR(H136="",I136="",D136="",F136="",G136=""),"",CONCATENATE('План инф-ции (титул)'!$P$6,".",LEFT(H136,1),".",B136))</f>
        <v/>
      </c>
      <c r="K136" s="5"/>
      <c r="L136" s="1"/>
      <c r="M136" s="1"/>
      <c r="N136" s="1"/>
      <c r="O136" s="1"/>
      <c r="P136" s="1"/>
    </row>
    <row r="137" spans="1:16" x14ac:dyDescent="0.25">
      <c r="A137" s="4" t="e">
        <f t="shared" ref="A137:A168" si="9">IF(I137="","",A136+1)</f>
        <v>#VALUE!</v>
      </c>
      <c r="B137" s="4" t="e">
        <f>IF(AND(A137=130,'План инф-ции (титул)'!$N$6&lt;&gt;""),"130П","130")</f>
        <v>#VALUE!</v>
      </c>
      <c r="D137" s="1"/>
      <c r="F137" s="11"/>
      <c r="G137" s="11"/>
      <c r="I137" s="1" t="str">
        <f t="shared" si="8"/>
        <v xml:space="preserve"> </v>
      </c>
      <c r="J137" s="4" t="str">
        <f>IF(OR(H137="",I137="",D137="",F137="",G137=""),"",CONCATENATE('План инф-ции (титул)'!$P$6,".",LEFT(H137,1),".",B137))</f>
        <v/>
      </c>
      <c r="K137" s="5"/>
      <c r="L137" s="1"/>
      <c r="M137" s="1"/>
      <c r="N137" s="1"/>
      <c r="O137" s="1"/>
      <c r="P137" s="1"/>
    </row>
    <row r="138" spans="1:16" x14ac:dyDescent="0.25">
      <c r="A138" s="4" t="e">
        <f t="shared" si="9"/>
        <v>#VALUE!</v>
      </c>
      <c r="B138" s="4" t="e">
        <f>IF(AND(A138=131,'План инф-ции (титул)'!$N$6&lt;&gt;""),"131П","131")</f>
        <v>#VALUE!</v>
      </c>
      <c r="D138" s="1"/>
      <c r="F138" s="11"/>
      <c r="G138" s="11"/>
      <c r="I138" s="1" t="str">
        <f t="shared" si="8"/>
        <v xml:space="preserve"> </v>
      </c>
      <c r="J138" s="4" t="str">
        <f>IF(OR(H138="",I138="",D138="",F138="",G138=""),"",CONCATENATE('План инф-ции (титул)'!$P$6,".",LEFT(H138,1),".",B138))</f>
        <v/>
      </c>
      <c r="K138" s="5"/>
      <c r="L138" s="1"/>
      <c r="M138" s="1"/>
      <c r="N138" s="1"/>
      <c r="O138" s="1"/>
      <c r="P138" s="1"/>
    </row>
    <row r="139" spans="1:16" x14ac:dyDescent="0.25">
      <c r="A139" s="4" t="e">
        <f t="shared" si="9"/>
        <v>#VALUE!</v>
      </c>
      <c r="B139" s="4" t="e">
        <f>IF(AND(A139=132,'План инф-ции (титул)'!$N$6&lt;&gt;""),"132П","132")</f>
        <v>#VALUE!</v>
      </c>
      <c r="D139" s="1"/>
      <c r="F139" s="11"/>
      <c r="G139" s="11"/>
      <c r="I139" s="1" t="str">
        <f t="shared" si="8"/>
        <v xml:space="preserve"> </v>
      </c>
      <c r="J139" s="4" t="str">
        <f>IF(OR(H139="",I139="",D139="",F139="",G139=""),"",CONCATENATE('План инф-ции (титул)'!$P$6,".",LEFT(H139,1),".",B139))</f>
        <v/>
      </c>
      <c r="K139" s="5"/>
      <c r="L139" s="1"/>
      <c r="M139" s="1"/>
      <c r="N139" s="1"/>
      <c r="O139" s="1"/>
      <c r="P139" s="1"/>
    </row>
    <row r="140" spans="1:16" x14ac:dyDescent="0.25">
      <c r="A140" s="4" t="e">
        <f t="shared" si="9"/>
        <v>#VALUE!</v>
      </c>
      <c r="B140" s="4" t="e">
        <f>IF(AND(A140=133,'План инф-ции (титул)'!$N$6&lt;&gt;""),"133П","133")</f>
        <v>#VALUE!</v>
      </c>
      <c r="D140" s="1"/>
      <c r="F140" s="11"/>
      <c r="G140" s="11"/>
      <c r="I140" s="1" t="str">
        <f t="shared" si="8"/>
        <v xml:space="preserve"> </v>
      </c>
      <c r="J140" s="4" t="str">
        <f>IF(OR(H140="",I140="",D140="",F140="",G140=""),"",CONCATENATE('План инф-ции (титул)'!$P$6,".",LEFT(H140,1),".",B140))</f>
        <v/>
      </c>
      <c r="K140" s="5"/>
      <c r="L140" s="1"/>
      <c r="M140" s="1"/>
      <c r="N140" s="1"/>
      <c r="O140" s="1"/>
      <c r="P140" s="1"/>
    </row>
    <row r="141" spans="1:16" x14ac:dyDescent="0.25">
      <c r="A141" s="4" t="e">
        <f t="shared" si="9"/>
        <v>#VALUE!</v>
      </c>
      <c r="B141" s="4" t="e">
        <f>IF(AND(A141=134,'План инф-ции (титул)'!$N$6&lt;&gt;""),"134П","134")</f>
        <v>#VALUE!</v>
      </c>
      <c r="D141" s="1"/>
      <c r="F141" s="11"/>
      <c r="G141" s="11"/>
      <c r="I141" s="1" t="str">
        <f t="shared" si="8"/>
        <v xml:space="preserve"> </v>
      </c>
      <c r="J141" s="4" t="str">
        <f>IF(OR(H141="",I141="",D141="",F141="",G141=""),"",CONCATENATE('План инф-ции (титул)'!$P$6,".",LEFT(H141,1),".",B141))</f>
        <v/>
      </c>
      <c r="K141" s="5"/>
      <c r="L141" s="1"/>
      <c r="M141" s="1"/>
      <c r="N141" s="1"/>
      <c r="O141" s="1"/>
      <c r="P141" s="1"/>
    </row>
    <row r="142" spans="1:16" x14ac:dyDescent="0.25">
      <c r="A142" s="4" t="e">
        <f t="shared" si="9"/>
        <v>#VALUE!</v>
      </c>
      <c r="B142" s="4" t="e">
        <f>IF(AND(A142=135,'План инф-ции (титул)'!$N$6&lt;&gt;""),"135П","135")</f>
        <v>#VALUE!</v>
      </c>
      <c r="D142" s="1"/>
      <c r="F142" s="11"/>
      <c r="G142" s="11"/>
      <c r="I142" s="1" t="str">
        <f t="shared" si="8"/>
        <v xml:space="preserve"> </v>
      </c>
      <c r="J142" s="4" t="str">
        <f>IF(OR(H142="",I142="",D142="",F142="",G142=""),"",CONCATENATE('План инф-ции (титул)'!$P$6,".",LEFT(H142,1),".",B142))</f>
        <v/>
      </c>
      <c r="K142" s="5"/>
      <c r="L142" s="1"/>
      <c r="M142" s="1"/>
      <c r="N142" s="1"/>
      <c r="O142" s="1"/>
      <c r="P142" s="1"/>
    </row>
    <row r="143" spans="1:16" x14ac:dyDescent="0.25">
      <c r="A143" s="4" t="e">
        <f t="shared" si="9"/>
        <v>#VALUE!</v>
      </c>
      <c r="B143" s="4" t="e">
        <f>IF(AND(A143=136,'План инф-ции (титул)'!$N$6&lt;&gt;""),"136П","136")</f>
        <v>#VALUE!</v>
      </c>
      <c r="D143" s="1"/>
      <c r="F143" s="11"/>
      <c r="G143" s="11"/>
      <c r="I143" s="1" t="str">
        <f t="shared" si="8"/>
        <v xml:space="preserve"> </v>
      </c>
      <c r="J143" s="4" t="str">
        <f>IF(OR(H143="",I143="",D143="",F143="",G143=""),"",CONCATENATE('План инф-ции (титул)'!$P$6,".",LEFT(H143,1),".",B143))</f>
        <v/>
      </c>
      <c r="K143" s="5"/>
      <c r="L143" s="1"/>
      <c r="M143" s="1"/>
      <c r="N143" s="1"/>
      <c r="O143" s="1"/>
      <c r="P143" s="1"/>
    </row>
    <row r="144" spans="1:16" x14ac:dyDescent="0.25">
      <c r="A144" s="4" t="e">
        <f t="shared" si="9"/>
        <v>#VALUE!</v>
      </c>
      <c r="B144" s="4" t="e">
        <f>IF(AND(A144=137,'План инф-ции (титул)'!$N$6&lt;&gt;""),"137П","137")</f>
        <v>#VALUE!</v>
      </c>
      <c r="D144" s="1"/>
      <c r="F144" s="11"/>
      <c r="G144" s="11"/>
      <c r="I144" s="1" t="str">
        <f t="shared" si="8"/>
        <v xml:space="preserve"> </v>
      </c>
      <c r="J144" s="4" t="str">
        <f>IF(OR(H144="",I144="",D144="",F144="",G144=""),"",CONCATENATE('План инф-ции (титул)'!$P$6,".",LEFT(H144,1),".",B144))</f>
        <v/>
      </c>
      <c r="K144" s="5"/>
      <c r="L144" s="1"/>
      <c r="M144" s="1"/>
      <c r="N144" s="1"/>
      <c r="O144" s="1"/>
      <c r="P144" s="1"/>
    </row>
    <row r="145" spans="1:16" x14ac:dyDescent="0.25">
      <c r="A145" s="4" t="e">
        <f t="shared" si="9"/>
        <v>#VALUE!</v>
      </c>
      <c r="B145" s="4" t="e">
        <f>IF(AND(A145=138,'План инф-ции (титул)'!$N$6&lt;&gt;""),"138П","138")</f>
        <v>#VALUE!</v>
      </c>
      <c r="D145" s="1"/>
      <c r="F145" s="11"/>
      <c r="G145" s="11"/>
      <c r="I145" s="1" t="str">
        <f t="shared" si="8"/>
        <v xml:space="preserve"> </v>
      </c>
      <c r="J145" s="4" t="str">
        <f>IF(OR(H145="",I145="",D145="",F145="",G145=""),"",CONCATENATE('План инф-ции (титул)'!$P$6,".",LEFT(H145,1),".",B145))</f>
        <v/>
      </c>
      <c r="K145" s="5"/>
      <c r="L145" s="1"/>
      <c r="M145" s="1"/>
      <c r="N145" s="1"/>
      <c r="O145" s="1"/>
      <c r="P145" s="1"/>
    </row>
    <row r="146" spans="1:16" x14ac:dyDescent="0.25">
      <c r="A146" s="4" t="e">
        <f t="shared" si="9"/>
        <v>#VALUE!</v>
      </c>
      <c r="B146" s="4" t="e">
        <f>IF(AND(A146=139,'План инф-ции (титул)'!$N$6&lt;&gt;""),"139П","139")</f>
        <v>#VALUE!</v>
      </c>
      <c r="D146" s="1"/>
      <c r="F146" s="11"/>
      <c r="G146" s="11"/>
      <c r="I146" s="1" t="str">
        <f t="shared" si="8"/>
        <v xml:space="preserve"> </v>
      </c>
      <c r="J146" s="4" t="str">
        <f>IF(OR(H146="",I146="",D146="",F146="",G146=""),"",CONCATENATE('План инф-ции (титул)'!$P$6,".",LEFT(H146,1),".",B146))</f>
        <v/>
      </c>
      <c r="K146" s="5"/>
      <c r="L146" s="1"/>
      <c r="M146" s="1"/>
      <c r="N146" s="1"/>
      <c r="O146" s="1"/>
      <c r="P146" s="1"/>
    </row>
    <row r="147" spans="1:16" x14ac:dyDescent="0.25">
      <c r="A147" s="4" t="e">
        <f t="shared" si="9"/>
        <v>#VALUE!</v>
      </c>
      <c r="B147" s="4" t="e">
        <f>IF(AND(A147=140,'План инф-ции (титул)'!$N$6&lt;&gt;""),"140П","140")</f>
        <v>#VALUE!</v>
      </c>
      <c r="D147" s="1"/>
      <c r="F147" s="11"/>
      <c r="G147" s="11"/>
      <c r="I147" s="1" t="str">
        <f t="shared" si="8"/>
        <v xml:space="preserve"> </v>
      </c>
      <c r="J147" s="4" t="str">
        <f>IF(OR(H147="",I147="",D147="",F147="",G147=""),"",CONCATENATE('План инф-ции (титул)'!$P$6,".",LEFT(H147,1),".",B147))</f>
        <v/>
      </c>
      <c r="K147" s="5"/>
      <c r="L147" s="1"/>
      <c r="M147" s="1"/>
      <c r="N147" s="1"/>
      <c r="O147" s="1"/>
      <c r="P147" s="1"/>
    </row>
    <row r="148" spans="1:16" x14ac:dyDescent="0.25">
      <c r="A148" s="4" t="e">
        <f t="shared" si="9"/>
        <v>#VALUE!</v>
      </c>
      <c r="B148" s="4" t="e">
        <f>IF(AND(A148=141,'План инф-ции (титул)'!$N$6&lt;&gt;""),"141П","141")</f>
        <v>#VALUE!</v>
      </c>
      <c r="D148" s="1"/>
      <c r="F148" s="11"/>
      <c r="G148" s="11"/>
      <c r="I148" s="1" t="str">
        <f t="shared" si="8"/>
        <v xml:space="preserve"> </v>
      </c>
      <c r="J148" s="4" t="str">
        <f>IF(OR(H148="",I148="",D148="",F148="",G148=""),"",CONCATENATE('План инф-ции (титул)'!$P$6,".",LEFT(H148,1),".",B148))</f>
        <v/>
      </c>
      <c r="K148" s="5"/>
      <c r="L148" s="1"/>
      <c r="M148" s="1"/>
      <c r="N148" s="1"/>
      <c r="O148" s="1"/>
      <c r="P148" s="1"/>
    </row>
    <row r="149" spans="1:16" x14ac:dyDescent="0.25">
      <c r="A149" s="4" t="e">
        <f t="shared" si="9"/>
        <v>#VALUE!</v>
      </c>
      <c r="B149" s="4" t="e">
        <f>IF(AND(A149=142,'План инф-ции (титул)'!$N$6&lt;&gt;""),"142П","142")</f>
        <v>#VALUE!</v>
      </c>
      <c r="D149" s="1"/>
      <c r="F149" s="11"/>
      <c r="G149" s="11"/>
      <c r="I149" s="1" t="str">
        <f t="shared" si="8"/>
        <v xml:space="preserve"> </v>
      </c>
      <c r="J149" s="4" t="str">
        <f>IF(OR(H149="",I149="",D149="",F149="",G149=""),"",CONCATENATE('План инф-ции (титул)'!$P$6,".",LEFT(H149,1),".",B149))</f>
        <v/>
      </c>
      <c r="K149" s="5"/>
      <c r="L149" s="1"/>
      <c r="M149" s="1"/>
      <c r="N149" s="1"/>
      <c r="O149" s="1"/>
      <c r="P149" s="1"/>
    </row>
    <row r="150" spans="1:16" x14ac:dyDescent="0.25">
      <c r="A150" s="4" t="e">
        <f t="shared" si="9"/>
        <v>#VALUE!</v>
      </c>
      <c r="B150" s="4" t="e">
        <f>IF(AND(A150=143,'План инф-ции (титул)'!$N$6&lt;&gt;""),"143П","143")</f>
        <v>#VALUE!</v>
      </c>
      <c r="D150" s="1"/>
      <c r="F150" s="11"/>
      <c r="G150" s="11"/>
      <c r="I150" s="1" t="str">
        <f t="shared" si="8"/>
        <v xml:space="preserve"> </v>
      </c>
      <c r="J150" s="4" t="str">
        <f>IF(OR(H150="",I150="",D150="",F150="",G150=""),"",CONCATENATE('План инф-ции (титул)'!$P$6,".",LEFT(H150,1),".",B150))</f>
        <v/>
      </c>
      <c r="K150" s="5"/>
      <c r="L150" s="1"/>
      <c r="M150" s="1"/>
      <c r="N150" s="1"/>
      <c r="O150" s="1"/>
      <c r="P150" s="1"/>
    </row>
    <row r="151" spans="1:16" x14ac:dyDescent="0.25">
      <c r="A151" s="4" t="e">
        <f t="shared" si="9"/>
        <v>#VALUE!</v>
      </c>
      <c r="B151" s="4" t="e">
        <f>IF(AND(A151=144,'План инф-ции (титул)'!$N$6&lt;&gt;""),"144П","144")</f>
        <v>#VALUE!</v>
      </c>
      <c r="D151" s="1"/>
      <c r="F151" s="11"/>
      <c r="G151" s="11"/>
      <c r="I151" s="1" t="str">
        <f t="shared" si="8"/>
        <v xml:space="preserve"> </v>
      </c>
      <c r="J151" s="4" t="str">
        <f>IF(OR(H151="",I151="",D151="",F151="",G151=""),"",CONCATENATE('План инф-ции (титул)'!$P$6,".",LEFT(H151,1),".",B151))</f>
        <v/>
      </c>
      <c r="K151" s="5"/>
      <c r="L151" s="1"/>
      <c r="M151" s="1"/>
      <c r="N151" s="1"/>
      <c r="O151" s="1"/>
      <c r="P151" s="1"/>
    </row>
    <row r="152" spans="1:16" x14ac:dyDescent="0.25">
      <c r="A152" s="4" t="e">
        <f t="shared" si="9"/>
        <v>#VALUE!</v>
      </c>
      <c r="B152" s="4" t="e">
        <f>IF(AND(A152=145,'План инф-ции (титул)'!$N$6&lt;&gt;""),"145П","145")</f>
        <v>#VALUE!</v>
      </c>
      <c r="D152" s="1"/>
      <c r="F152" s="11"/>
      <c r="G152" s="11"/>
      <c r="I152" s="1" t="str">
        <f t="shared" si="8"/>
        <v xml:space="preserve"> </v>
      </c>
      <c r="J152" s="4" t="str">
        <f>IF(OR(H152="",I152="",D152="",F152="",G152=""),"",CONCATENATE('План инф-ции (титул)'!$P$6,".",LEFT(H152,1),".",B152))</f>
        <v/>
      </c>
      <c r="K152" s="5"/>
      <c r="L152" s="1"/>
      <c r="M152" s="1"/>
      <c r="N152" s="1"/>
      <c r="O152" s="1"/>
      <c r="P152" s="1"/>
    </row>
    <row r="153" spans="1:16" x14ac:dyDescent="0.25">
      <c r="A153" s="4" t="e">
        <f t="shared" si="9"/>
        <v>#VALUE!</v>
      </c>
      <c r="B153" s="4" t="e">
        <f>IF(AND(A153=146,'План инф-ции (титул)'!$N$6&lt;&gt;""),"146П","146")</f>
        <v>#VALUE!</v>
      </c>
      <c r="D153" s="1"/>
      <c r="F153" s="11"/>
      <c r="G153" s="11"/>
      <c r="I153" s="1" t="str">
        <f t="shared" ref="I153:I179" si="10">CONCATENATE(H153," ",D153)</f>
        <v xml:space="preserve"> </v>
      </c>
      <c r="J153" s="4" t="str">
        <f>IF(OR(H153="",I153="",D153="",F153="",G153=""),"",CONCATENATE('План инф-ции (титул)'!$P$6,".",LEFT(H153,1),".",B153))</f>
        <v/>
      </c>
      <c r="K153" s="5"/>
      <c r="L153" s="1"/>
      <c r="M153" s="1"/>
      <c r="N153" s="1"/>
      <c r="O153" s="1"/>
      <c r="P153" s="1"/>
    </row>
    <row r="154" spans="1:16" x14ac:dyDescent="0.25">
      <c r="A154" s="4" t="e">
        <f t="shared" si="9"/>
        <v>#VALUE!</v>
      </c>
      <c r="B154" s="4" t="e">
        <f>IF(AND(A154=147,'План инф-ции (титул)'!$N$6&lt;&gt;""),"147П","147")</f>
        <v>#VALUE!</v>
      </c>
      <c r="D154" s="1"/>
      <c r="F154" s="11"/>
      <c r="G154" s="11"/>
      <c r="I154" s="1" t="str">
        <f t="shared" si="10"/>
        <v xml:space="preserve"> </v>
      </c>
      <c r="J154" s="4" t="str">
        <f>IF(OR(H154="",I154="",D154="",F154="",G154=""),"",CONCATENATE('План инф-ции (титул)'!$P$6,".",LEFT(H154,1),".",B154))</f>
        <v/>
      </c>
      <c r="K154" s="5"/>
      <c r="L154" s="1"/>
      <c r="M154" s="1"/>
      <c r="N154" s="1"/>
      <c r="O154" s="1"/>
      <c r="P154" s="1"/>
    </row>
    <row r="155" spans="1:16" x14ac:dyDescent="0.25">
      <c r="A155" s="4" t="e">
        <f t="shared" si="9"/>
        <v>#VALUE!</v>
      </c>
      <c r="B155" s="4" t="e">
        <f>IF(AND(A155=148,'План инф-ции (титул)'!$N$6&lt;&gt;""),"148П","148")</f>
        <v>#VALUE!</v>
      </c>
      <c r="D155" s="1"/>
      <c r="F155" s="11"/>
      <c r="G155" s="11"/>
      <c r="I155" s="1" t="str">
        <f t="shared" si="10"/>
        <v xml:space="preserve"> </v>
      </c>
      <c r="J155" s="4" t="str">
        <f>IF(OR(H155="",I155="",D155="",F155="",G155=""),"",CONCATENATE('План инф-ции (титул)'!$P$6,".",LEFT(H155,1),".",B155))</f>
        <v/>
      </c>
      <c r="K155" s="5"/>
      <c r="L155" s="1"/>
      <c r="M155" s="1"/>
      <c r="N155" s="1"/>
      <c r="O155" s="1"/>
      <c r="P155" s="1"/>
    </row>
    <row r="156" spans="1:16" x14ac:dyDescent="0.25">
      <c r="A156" s="4" t="e">
        <f t="shared" si="9"/>
        <v>#VALUE!</v>
      </c>
      <c r="B156" s="4" t="e">
        <f>IF(AND(A156=149,'План инф-ции (титул)'!$N$6&lt;&gt;""),"149П","149")</f>
        <v>#VALUE!</v>
      </c>
      <c r="D156" s="1"/>
      <c r="F156" s="11"/>
      <c r="G156" s="11"/>
      <c r="I156" s="1" t="str">
        <f t="shared" si="10"/>
        <v xml:space="preserve"> </v>
      </c>
      <c r="J156" s="4" t="str">
        <f>IF(OR(H156="",I156="",D156="",F156="",G156=""),"",CONCATENATE('План инф-ции (титул)'!$P$6,".",LEFT(H156,1),".",B156))</f>
        <v/>
      </c>
      <c r="K156" s="5"/>
      <c r="L156" s="1"/>
      <c r="M156" s="1"/>
      <c r="N156" s="1"/>
      <c r="O156" s="1"/>
      <c r="P156" s="1"/>
    </row>
    <row r="157" spans="1:16" x14ac:dyDescent="0.25">
      <c r="A157" s="4" t="e">
        <f t="shared" si="9"/>
        <v>#VALUE!</v>
      </c>
      <c r="B157" s="4" t="e">
        <f>IF(AND(A157=150,'План инф-ции (титул)'!$N$6&lt;&gt;""),"150П","150")</f>
        <v>#VALUE!</v>
      </c>
      <c r="D157" s="1"/>
      <c r="F157" s="11"/>
      <c r="G157" s="11"/>
      <c r="I157" s="1" t="str">
        <f t="shared" si="10"/>
        <v xml:space="preserve"> </v>
      </c>
      <c r="J157" s="4" t="str">
        <f>IF(OR(H157="",I157="",D157="",F157="",G157=""),"",CONCATENATE('План инф-ции (титул)'!$P$6,".",LEFT(H157,1),".",B157))</f>
        <v/>
      </c>
      <c r="K157" s="5"/>
      <c r="L157" s="1"/>
      <c r="M157" s="1"/>
      <c r="N157" s="1"/>
      <c r="O157" s="1"/>
      <c r="P157" s="1"/>
    </row>
    <row r="158" spans="1:16" x14ac:dyDescent="0.25">
      <c r="A158" s="4" t="e">
        <f t="shared" si="9"/>
        <v>#VALUE!</v>
      </c>
      <c r="B158" s="4" t="e">
        <f>IF(AND(A158=151,'План инф-ции (титул)'!$N$6&lt;&gt;""),"151П","151")</f>
        <v>#VALUE!</v>
      </c>
      <c r="D158" s="1"/>
      <c r="F158" s="11"/>
      <c r="G158" s="11"/>
      <c r="I158" s="1" t="str">
        <f t="shared" si="10"/>
        <v xml:space="preserve"> </v>
      </c>
      <c r="J158" s="4" t="str">
        <f>IF(OR(H158="",I158="",D158="",F158="",G158=""),"",CONCATENATE('План инф-ции (титул)'!$P$6,".",LEFT(H158,1),".",B158))</f>
        <v/>
      </c>
      <c r="K158" s="5"/>
      <c r="L158" s="1"/>
      <c r="M158" s="1"/>
      <c r="N158" s="1"/>
      <c r="O158" s="1"/>
      <c r="P158" s="1"/>
    </row>
    <row r="159" spans="1:16" x14ac:dyDescent="0.25">
      <c r="A159" s="4" t="e">
        <f t="shared" si="9"/>
        <v>#VALUE!</v>
      </c>
      <c r="B159" s="4" t="e">
        <f>IF(AND(A159=152,'План инф-ции (титул)'!$N$6&lt;&gt;""),"152П","152")</f>
        <v>#VALUE!</v>
      </c>
      <c r="D159" s="1"/>
      <c r="F159" s="11"/>
      <c r="G159" s="11"/>
      <c r="I159" s="1" t="str">
        <f t="shared" si="10"/>
        <v xml:space="preserve"> </v>
      </c>
      <c r="J159" s="4" t="str">
        <f>IF(OR(H159="",I159="",D159="",F159="",G159=""),"",CONCATENATE('План инф-ции (титул)'!$P$6,".",LEFT(H159,1),".",B159))</f>
        <v/>
      </c>
      <c r="K159" s="5"/>
      <c r="L159" s="1"/>
      <c r="M159" s="1"/>
      <c r="N159" s="1"/>
      <c r="O159" s="1"/>
      <c r="P159" s="1"/>
    </row>
    <row r="160" spans="1:16" x14ac:dyDescent="0.25">
      <c r="A160" s="4" t="e">
        <f t="shared" si="9"/>
        <v>#VALUE!</v>
      </c>
      <c r="B160" s="4" t="e">
        <f>IF(AND(A160=153,'План инф-ции (титул)'!$N$6&lt;&gt;""),"153П","153")</f>
        <v>#VALUE!</v>
      </c>
      <c r="D160" s="1"/>
      <c r="F160" s="11"/>
      <c r="G160" s="11"/>
      <c r="I160" s="1" t="str">
        <f t="shared" si="10"/>
        <v xml:space="preserve"> </v>
      </c>
      <c r="J160" s="4" t="str">
        <f>IF(OR(H160="",I160="",D160="",F160="",G160=""),"",CONCATENATE('План инф-ции (титул)'!$P$6,".",LEFT(H160,1),".",B160))</f>
        <v/>
      </c>
      <c r="K160" s="5"/>
      <c r="L160" s="1"/>
      <c r="M160" s="1"/>
      <c r="N160" s="1"/>
      <c r="O160" s="1"/>
      <c r="P160" s="1"/>
    </row>
    <row r="161" spans="1:16" x14ac:dyDescent="0.25">
      <c r="A161" s="4" t="e">
        <f t="shared" si="9"/>
        <v>#VALUE!</v>
      </c>
      <c r="B161" s="4" t="e">
        <f>IF(AND(A161=154,'План инф-ции (титул)'!$N$6&lt;&gt;""),"154П","154")</f>
        <v>#VALUE!</v>
      </c>
      <c r="D161" s="1"/>
      <c r="F161" s="11"/>
      <c r="G161" s="11"/>
      <c r="I161" s="1" t="str">
        <f t="shared" si="10"/>
        <v xml:space="preserve"> </v>
      </c>
      <c r="J161" s="4" t="str">
        <f>IF(OR(H161="",I161="",D161="",F161="",G161=""),"",CONCATENATE('План инф-ции (титул)'!$P$6,".",LEFT(H161,1),".",B161))</f>
        <v/>
      </c>
      <c r="K161" s="5"/>
      <c r="L161" s="1"/>
      <c r="M161" s="1"/>
      <c r="N161" s="1"/>
      <c r="O161" s="1"/>
      <c r="P161" s="1"/>
    </row>
    <row r="162" spans="1:16" x14ac:dyDescent="0.25">
      <c r="A162" s="4" t="e">
        <f t="shared" si="9"/>
        <v>#VALUE!</v>
      </c>
      <c r="B162" s="4" t="e">
        <f>IF(AND(A162=155,'План инф-ции (титул)'!$N$6&lt;&gt;""),"155П","155")</f>
        <v>#VALUE!</v>
      </c>
      <c r="D162" s="1"/>
      <c r="F162" s="11"/>
      <c r="G162" s="11"/>
      <c r="I162" s="1" t="str">
        <f t="shared" si="10"/>
        <v xml:space="preserve"> </v>
      </c>
      <c r="J162" s="4" t="str">
        <f>IF(OR(H162="",I162="",D162="",F162="",G162=""),"",CONCATENATE('План инф-ции (титул)'!$P$6,".",LEFT(H162,1),".",B162))</f>
        <v/>
      </c>
      <c r="K162" s="5"/>
      <c r="L162" s="1"/>
      <c r="M162" s="1"/>
      <c r="N162" s="1"/>
      <c r="O162" s="1"/>
      <c r="P162" s="1"/>
    </row>
    <row r="163" spans="1:16" x14ac:dyDescent="0.25">
      <c r="A163" s="4" t="e">
        <f t="shared" si="9"/>
        <v>#VALUE!</v>
      </c>
      <c r="B163" s="4" t="e">
        <f>IF(AND(A163=156,'План инф-ции (титул)'!$N$6&lt;&gt;""),"156П","156")</f>
        <v>#VALUE!</v>
      </c>
      <c r="D163" s="1"/>
      <c r="F163" s="11"/>
      <c r="G163" s="11"/>
      <c r="I163" s="1" t="str">
        <f t="shared" si="10"/>
        <v xml:space="preserve"> </v>
      </c>
      <c r="J163" s="4" t="str">
        <f>IF(OR(H163="",I163="",D163="",F163="",G163=""),"",CONCATENATE('План инф-ции (титул)'!$P$6,".",LEFT(H163,1),".",B163))</f>
        <v/>
      </c>
      <c r="K163" s="5"/>
      <c r="L163" s="1"/>
      <c r="M163" s="1"/>
      <c r="N163" s="1"/>
      <c r="O163" s="1"/>
      <c r="P163" s="1"/>
    </row>
    <row r="164" spans="1:16" x14ac:dyDescent="0.25">
      <c r="A164" s="4" t="e">
        <f t="shared" si="9"/>
        <v>#VALUE!</v>
      </c>
      <c r="B164" s="4" t="e">
        <f>IF(AND(A164=157,'План инф-ции (титул)'!$N$6&lt;&gt;""),"157П","157")</f>
        <v>#VALUE!</v>
      </c>
      <c r="D164" s="1"/>
      <c r="F164" s="11"/>
      <c r="G164" s="11"/>
      <c r="I164" s="1" t="str">
        <f t="shared" si="10"/>
        <v xml:space="preserve"> </v>
      </c>
      <c r="J164" s="4" t="str">
        <f>IF(OR(H164="",I164="",D164="",F164="",G164=""),"",CONCATENATE('План инф-ции (титул)'!$P$6,".",LEFT(H164,1),".",B164))</f>
        <v/>
      </c>
      <c r="K164" s="5"/>
      <c r="L164" s="1"/>
      <c r="M164" s="1"/>
      <c r="N164" s="1"/>
      <c r="O164" s="1"/>
      <c r="P164" s="1"/>
    </row>
    <row r="165" spans="1:16" x14ac:dyDescent="0.25">
      <c r="A165" s="4" t="e">
        <f t="shared" si="9"/>
        <v>#VALUE!</v>
      </c>
      <c r="B165" s="4" t="e">
        <f>IF(AND(A165=158,'План инф-ции (титул)'!$N$6&lt;&gt;""),"158П","158")</f>
        <v>#VALUE!</v>
      </c>
      <c r="D165" s="1"/>
      <c r="F165" s="11"/>
      <c r="G165" s="11"/>
      <c r="I165" s="1" t="str">
        <f t="shared" si="10"/>
        <v xml:space="preserve"> </v>
      </c>
      <c r="J165" s="4" t="str">
        <f>IF(OR(H165="",I165="",D165="",F165="",G165=""),"",CONCATENATE('План инф-ции (титул)'!$P$6,".",LEFT(H165,1),".",B165))</f>
        <v/>
      </c>
      <c r="K165" s="5"/>
      <c r="L165" s="1"/>
      <c r="M165" s="1"/>
      <c r="N165" s="1"/>
      <c r="O165" s="1"/>
      <c r="P165" s="1"/>
    </row>
    <row r="166" spans="1:16" x14ac:dyDescent="0.25">
      <c r="A166" s="4" t="e">
        <f t="shared" si="9"/>
        <v>#VALUE!</v>
      </c>
      <c r="B166" s="4" t="e">
        <f>IF(AND(A166=159,'План инф-ции (титул)'!$N$6&lt;&gt;""),"159П","159")</f>
        <v>#VALUE!</v>
      </c>
      <c r="D166" s="1"/>
      <c r="F166" s="11"/>
      <c r="G166" s="11"/>
      <c r="I166" s="1" t="str">
        <f t="shared" si="10"/>
        <v xml:space="preserve"> </v>
      </c>
      <c r="J166" s="4" t="str">
        <f>IF(OR(H166="",I166="",D166="",F166="",G166=""),"",CONCATENATE('План инф-ции (титул)'!$P$6,".",LEFT(H166,1),".",B166))</f>
        <v/>
      </c>
      <c r="K166" s="5"/>
      <c r="L166" s="1"/>
      <c r="M166" s="1"/>
      <c r="N166" s="1"/>
      <c r="O166" s="1"/>
      <c r="P166" s="1"/>
    </row>
    <row r="167" spans="1:16" x14ac:dyDescent="0.25">
      <c r="A167" s="4" t="e">
        <f t="shared" si="9"/>
        <v>#VALUE!</v>
      </c>
      <c r="B167" s="4" t="e">
        <f>IF(AND(A167=160,'План инф-ции (титул)'!$N$6&lt;&gt;""),"160П","160")</f>
        <v>#VALUE!</v>
      </c>
      <c r="D167" s="1"/>
      <c r="F167" s="11"/>
      <c r="G167" s="11"/>
      <c r="I167" s="1" t="str">
        <f t="shared" si="10"/>
        <v xml:space="preserve"> </v>
      </c>
      <c r="J167" s="4" t="str">
        <f>IF(OR(H167="",I167="",D167="",F167="",G167=""),"",CONCATENATE('План инф-ции (титул)'!$P$6,".",LEFT(H167,1),".",B167))</f>
        <v/>
      </c>
      <c r="K167" s="5"/>
      <c r="L167" s="1"/>
      <c r="M167" s="1"/>
      <c r="N167" s="1"/>
      <c r="O167" s="1"/>
      <c r="P167" s="1"/>
    </row>
    <row r="168" spans="1:16" x14ac:dyDescent="0.25">
      <c r="A168" s="4" t="e">
        <f t="shared" si="9"/>
        <v>#VALUE!</v>
      </c>
      <c r="B168" s="4" t="e">
        <f>IF(AND(A168=161,'План инф-ции (титул)'!$N$6&lt;&gt;""),"161П","161")</f>
        <v>#VALUE!</v>
      </c>
      <c r="D168" s="1"/>
      <c r="F168" s="11"/>
      <c r="G168" s="11"/>
      <c r="I168" s="1" t="str">
        <f t="shared" si="10"/>
        <v xml:space="preserve"> </v>
      </c>
      <c r="J168" s="4" t="str">
        <f>IF(OR(H168="",I168="",D168="",F168="",G168=""),"",CONCATENATE('План инф-ции (титул)'!$P$6,".",LEFT(H168,1),".",B168))</f>
        <v/>
      </c>
      <c r="K168" s="5"/>
      <c r="L168" s="1"/>
      <c r="M168" s="1"/>
      <c r="N168" s="1"/>
      <c r="O168" s="1"/>
      <c r="P168" s="1"/>
    </row>
    <row r="169" spans="1:16" x14ac:dyDescent="0.25">
      <c r="A169" s="4" t="e">
        <f t="shared" ref="A169:A179" si="11">IF(I169="","",A168+1)</f>
        <v>#VALUE!</v>
      </c>
      <c r="B169" s="4" t="e">
        <f>IF(AND(A169=162,'План инф-ции (титул)'!$N$6&lt;&gt;""),"162П","162")</f>
        <v>#VALUE!</v>
      </c>
      <c r="D169" s="1"/>
      <c r="F169" s="11"/>
      <c r="G169" s="11"/>
      <c r="I169" s="1" t="str">
        <f t="shared" si="10"/>
        <v xml:space="preserve"> </v>
      </c>
      <c r="J169" s="4" t="str">
        <f>IF(OR(H169="",I169="",D169="",F169="",G169=""),"",CONCATENATE('План инф-ции (титул)'!$P$6,".",LEFT(H169,1),".",B169))</f>
        <v/>
      </c>
      <c r="K169" s="5"/>
      <c r="L169" s="1"/>
      <c r="M169" s="1"/>
      <c r="N169" s="1"/>
      <c r="O169" s="1"/>
      <c r="P169" s="1"/>
    </row>
    <row r="170" spans="1:16" x14ac:dyDescent="0.25">
      <c r="A170" s="4" t="e">
        <f t="shared" si="11"/>
        <v>#VALUE!</v>
      </c>
      <c r="B170" s="4" t="e">
        <f>IF(AND(A170=163,'План инф-ции (титул)'!$N$6&lt;&gt;""),"163П","163")</f>
        <v>#VALUE!</v>
      </c>
      <c r="D170" s="1"/>
      <c r="F170" s="11"/>
      <c r="G170" s="11"/>
      <c r="I170" s="1" t="str">
        <f t="shared" si="10"/>
        <v xml:space="preserve"> </v>
      </c>
      <c r="J170" s="4" t="str">
        <f>IF(OR(H170="",I170="",D170="",F170="",G170=""),"",CONCATENATE('План инф-ции (титул)'!$P$6,".",LEFT(H170,1),".",B170))</f>
        <v/>
      </c>
      <c r="K170" s="5"/>
      <c r="L170" s="1"/>
      <c r="M170" s="1"/>
      <c r="N170" s="1"/>
      <c r="O170" s="1"/>
      <c r="P170" s="1"/>
    </row>
    <row r="171" spans="1:16" x14ac:dyDescent="0.25">
      <c r="A171" s="4" t="e">
        <f t="shared" si="11"/>
        <v>#VALUE!</v>
      </c>
      <c r="B171" s="4" t="e">
        <f>IF(AND(A171=164,'План инф-ции (титул)'!$N$6&lt;&gt;""),"164П","164")</f>
        <v>#VALUE!</v>
      </c>
      <c r="D171" s="1"/>
      <c r="F171" s="11"/>
      <c r="G171" s="11"/>
      <c r="I171" s="1" t="str">
        <f t="shared" si="10"/>
        <v xml:space="preserve"> </v>
      </c>
      <c r="J171" s="4" t="str">
        <f>IF(OR(H171="",I171="",D171="",F171="",G171=""),"",CONCATENATE('План инф-ции (титул)'!$P$6,".",LEFT(H171,1),".",B171))</f>
        <v/>
      </c>
      <c r="K171" s="5"/>
      <c r="L171" s="1"/>
      <c r="M171" s="1"/>
      <c r="N171" s="1"/>
      <c r="O171" s="1"/>
      <c r="P171" s="1"/>
    </row>
    <row r="172" spans="1:16" x14ac:dyDescent="0.25">
      <c r="A172" s="4" t="e">
        <f t="shared" si="11"/>
        <v>#VALUE!</v>
      </c>
      <c r="B172" s="4" t="e">
        <f>IF(AND(A172=165,'План инф-ции (титул)'!$N$6&lt;&gt;""),"165П","165")</f>
        <v>#VALUE!</v>
      </c>
      <c r="D172" s="1"/>
      <c r="F172" s="11"/>
      <c r="G172" s="11"/>
      <c r="I172" s="1" t="str">
        <f t="shared" si="10"/>
        <v xml:space="preserve"> </v>
      </c>
      <c r="J172" s="4" t="str">
        <f>IF(OR(H172="",I172="",D172="",F172="",G172=""),"",CONCATENATE('План инф-ции (титул)'!$P$6,".",LEFT(H172,1),".",B172))</f>
        <v/>
      </c>
      <c r="K172" s="5"/>
      <c r="L172" s="1"/>
      <c r="M172" s="1"/>
      <c r="N172" s="1"/>
      <c r="O172" s="1"/>
      <c r="P172" s="1"/>
    </row>
    <row r="173" spans="1:16" x14ac:dyDescent="0.25">
      <c r="A173" s="4" t="e">
        <f t="shared" si="11"/>
        <v>#VALUE!</v>
      </c>
      <c r="B173" s="4" t="e">
        <f>IF(AND(A173=166,'План инф-ции (титул)'!$N$6&lt;&gt;""),"166П","166")</f>
        <v>#VALUE!</v>
      </c>
      <c r="D173" s="1"/>
      <c r="F173" s="11"/>
      <c r="G173" s="11"/>
      <c r="I173" s="1" t="str">
        <f t="shared" si="10"/>
        <v xml:space="preserve"> </v>
      </c>
      <c r="J173" s="4" t="str">
        <f>IF(OR(H173="",I173="",D173="",F173="",G173=""),"",CONCATENATE('План инф-ции (титул)'!$P$6,".",LEFT(H173,1),".",B173))</f>
        <v/>
      </c>
      <c r="K173" s="5"/>
      <c r="L173" s="1"/>
      <c r="M173" s="1"/>
      <c r="N173" s="1"/>
      <c r="O173" s="1"/>
      <c r="P173" s="1"/>
    </row>
    <row r="174" spans="1:16" x14ac:dyDescent="0.25">
      <c r="A174" s="4" t="e">
        <f t="shared" si="11"/>
        <v>#VALUE!</v>
      </c>
      <c r="B174" s="4" t="e">
        <f>IF(AND(A174=167,'План инф-ции (титул)'!$N$6&lt;&gt;""),"167П","167")</f>
        <v>#VALUE!</v>
      </c>
      <c r="D174" s="1"/>
      <c r="F174" s="11"/>
      <c r="G174" s="11"/>
      <c r="I174" s="1" t="str">
        <f t="shared" si="10"/>
        <v xml:space="preserve"> </v>
      </c>
      <c r="J174" s="4" t="str">
        <f>IF(OR(H174="",I174="",D174="",F174="",G174=""),"",CONCATENATE('План инф-ции (титул)'!$P$6,".",LEFT(H174,1),".",B174))</f>
        <v/>
      </c>
      <c r="K174" s="5"/>
      <c r="L174" s="1"/>
      <c r="M174" s="1"/>
      <c r="N174" s="1"/>
      <c r="O174" s="1"/>
      <c r="P174" s="1"/>
    </row>
    <row r="175" spans="1:16" x14ac:dyDescent="0.25">
      <c r="A175" s="4" t="e">
        <f t="shared" si="11"/>
        <v>#VALUE!</v>
      </c>
      <c r="B175" s="4" t="e">
        <f>IF(AND(A175=168,'План инф-ции (титул)'!$N$6&lt;&gt;""),"168П","168")</f>
        <v>#VALUE!</v>
      </c>
      <c r="D175" s="1"/>
      <c r="F175" s="11"/>
      <c r="G175" s="11"/>
      <c r="I175" s="1" t="str">
        <f t="shared" si="10"/>
        <v xml:space="preserve"> </v>
      </c>
      <c r="J175" s="4" t="str">
        <f>IF(OR(H175="",I175="",D175="",F175="",G175=""),"",CONCATENATE('План инф-ции (титул)'!$P$6,".",LEFT(H175,1),".",B175))</f>
        <v/>
      </c>
      <c r="K175" s="5"/>
      <c r="L175" s="1"/>
      <c r="M175" s="1"/>
      <c r="N175" s="1"/>
      <c r="O175" s="1"/>
      <c r="P175" s="1"/>
    </row>
    <row r="176" spans="1:16" x14ac:dyDescent="0.25">
      <c r="A176" s="4" t="e">
        <f t="shared" si="11"/>
        <v>#VALUE!</v>
      </c>
      <c r="B176" s="4" t="e">
        <f>IF(AND(A176=169,'План инф-ции (титул)'!$N$6&lt;&gt;""),"169П","169")</f>
        <v>#VALUE!</v>
      </c>
      <c r="D176" s="1"/>
      <c r="F176" s="11"/>
      <c r="G176" s="11"/>
      <c r="I176" s="1" t="str">
        <f t="shared" si="10"/>
        <v xml:space="preserve"> </v>
      </c>
      <c r="J176" s="4" t="str">
        <f>IF(OR(H176="",I176="",D176="",F176="",G176=""),"",CONCATENATE('План инф-ции (титул)'!$P$6,".",LEFT(H176,1),".",B176))</f>
        <v/>
      </c>
      <c r="K176" s="5"/>
      <c r="L176" s="1"/>
      <c r="M176" s="1"/>
      <c r="N176" s="1"/>
      <c r="O176" s="1"/>
      <c r="P176" s="1"/>
    </row>
    <row r="177" spans="1:16" x14ac:dyDescent="0.25">
      <c r="A177" s="4" t="e">
        <f t="shared" si="11"/>
        <v>#VALUE!</v>
      </c>
      <c r="B177" s="4" t="e">
        <f>IF(AND(A177=170,'План инф-ции (титул)'!$N$6&lt;&gt;""),"170П","170")</f>
        <v>#VALUE!</v>
      </c>
      <c r="D177" s="1"/>
      <c r="F177" s="11"/>
      <c r="G177" s="11"/>
      <c r="I177" s="1" t="str">
        <f t="shared" si="10"/>
        <v xml:space="preserve"> </v>
      </c>
      <c r="J177" s="4" t="str">
        <f>IF(OR(H177="",I177="",D177="",F177="",G177=""),"",CONCATENATE('План инф-ции (титул)'!$P$6,".",LEFT(H177,1),".",B177))</f>
        <v/>
      </c>
      <c r="K177" s="5"/>
      <c r="L177" s="1"/>
      <c r="M177" s="1"/>
      <c r="N177" s="1"/>
      <c r="O177" s="1"/>
      <c r="P177" s="1"/>
    </row>
    <row r="178" spans="1:16" x14ac:dyDescent="0.25">
      <c r="A178" s="4" t="e">
        <f t="shared" si="11"/>
        <v>#VALUE!</v>
      </c>
      <c r="B178" s="4" t="e">
        <f>IF(AND(A178=171,'План инф-ции (титул)'!$N$6&lt;&gt;""),"171П","171")</f>
        <v>#VALUE!</v>
      </c>
      <c r="F178" s="11"/>
      <c r="G178" s="11"/>
      <c r="I178" s="4" t="str">
        <f t="shared" si="10"/>
        <v xml:space="preserve"> </v>
      </c>
      <c r="K178" s="5"/>
    </row>
    <row r="179" spans="1:16" s="18" customFormat="1" x14ac:dyDescent="0.25">
      <c r="A179" s="4" t="e">
        <f t="shared" si="11"/>
        <v>#VALUE!</v>
      </c>
      <c r="B179" s="4" t="e">
        <f>IF(AND(A179=172,'План инф-ции (титул)'!$N$6&lt;&gt;""),"172П","172")</f>
        <v>#VALUE!</v>
      </c>
      <c r="D179" s="43"/>
      <c r="G179" s="27"/>
      <c r="I179" s="43" t="str">
        <f t="shared" si="10"/>
        <v xml:space="preserve"> </v>
      </c>
      <c r="J179" s="18" t="str">
        <f>IF(OR(H179="",I179="",D179="",F179="",G179=""),"",CONCATENATE('План инф-ции (титул)'!$P$6,".",LEFT(H179,1),".",B179))</f>
        <v/>
      </c>
      <c r="K179" s="28"/>
      <c r="L179" s="43"/>
      <c r="M179" s="43"/>
      <c r="N179" s="43"/>
      <c r="O179" s="43"/>
      <c r="P179" s="43"/>
    </row>
    <row r="181" spans="1:16" ht="21" x14ac:dyDescent="0.25">
      <c r="D181" s="195" t="s">
        <v>273</v>
      </c>
      <c r="E181" s="195"/>
      <c r="F181" s="195"/>
      <c r="G181" s="195"/>
      <c r="H181" s="195"/>
      <c r="I181" s="195"/>
      <c r="J181" s="195"/>
      <c r="K181" s="195"/>
    </row>
    <row r="182" spans="1:16" ht="21" x14ac:dyDescent="0.25">
      <c r="D182" s="196" t="s">
        <v>274</v>
      </c>
      <c r="E182" s="196"/>
      <c r="F182" s="196"/>
      <c r="G182" s="196"/>
      <c r="H182" s="196"/>
      <c r="I182" s="196"/>
      <c r="J182" s="196"/>
      <c r="K182" s="196"/>
    </row>
  </sheetData>
  <mergeCells count="5">
    <mergeCell ref="C2:P2"/>
    <mergeCell ref="C3:P3"/>
    <mergeCell ref="C4:P4"/>
    <mergeCell ref="D181:K181"/>
    <mergeCell ref="D182:K182"/>
  </mergeCells>
  <pageMargins left="0.70866141732283472" right="0.23622047244094491" top="0.47244094488188981" bottom="0.47244094488188981" header="0.31496062992125984" footer="0.31496062992125984"/>
  <pageSetup paperSize="9" scale="11" orientation="landscape" r:id="rId1"/>
  <legacyDrawing r:id="rId2"/>
  <tableParts count="2">
    <tablePart r:id="rId3"/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300-000000000000}">
          <x14:formula1>
            <xm:f>Справочники!$E$3:$E$9</xm:f>
          </x14:formula1>
          <xm:sqref>K7</xm:sqref>
        </x14:dataValidation>
        <x14:dataValidation type="list" allowBlank="1" showInputMessage="1" showErrorMessage="1" xr:uid="{00000000-0002-0000-0300-000001000000}">
          <x14:formula1>
            <xm:f>Справочники!$B$38:$B$42</xm:f>
          </x14:formula1>
          <xm:sqref>H7:H179</xm:sqref>
        </x14:dataValidation>
        <x14:dataValidation type="list" allowBlank="1" showInputMessage="1" showErrorMessage="1" xr:uid="{00000000-0002-0000-0300-000002000000}">
          <x14:formula1>
            <xm:f>Справочники!$C$33:$C$38</xm:f>
          </x14:formula1>
          <xm:sqref>F7:G179</xm:sqref>
        </x14:dataValidation>
        <x14:dataValidation type="list" allowBlank="1" showInputMessage="1" showErrorMessage="1" xr:uid="{00000000-0002-0000-0300-000003000000}">
          <x14:formula1>
            <xm:f>Справочники!$E$2:$E$9</xm:f>
          </x14:formula1>
          <xm:sqref>K8:K179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6"/>
  <dimension ref="A1:H105"/>
  <sheetViews>
    <sheetView view="pageBreakPreview" zoomScale="60" zoomScaleNormal="100" workbookViewId="0">
      <selection activeCell="B39" sqref="B39"/>
    </sheetView>
  </sheetViews>
  <sheetFormatPr defaultRowHeight="15" x14ac:dyDescent="0.25"/>
  <cols>
    <col min="1" max="1" width="40.140625" customWidth="1"/>
    <col min="2" max="2" width="22.7109375" customWidth="1"/>
    <col min="3" max="3" width="50.5703125" customWidth="1"/>
    <col min="4" max="4" width="1.28515625" customWidth="1"/>
    <col min="5" max="5" width="23.5703125" customWidth="1"/>
    <col min="6" max="6" width="44.28515625" customWidth="1"/>
    <col min="7" max="7" width="26" customWidth="1"/>
  </cols>
  <sheetData>
    <row r="1" spans="1:7" ht="15.75" x14ac:dyDescent="0.25">
      <c r="A1" s="82"/>
      <c r="B1" s="82"/>
      <c r="C1" s="82"/>
      <c r="D1" s="82"/>
      <c r="E1" s="82"/>
      <c r="F1" s="82"/>
      <c r="G1" s="82"/>
    </row>
    <row r="2" spans="1:7" ht="15.75" x14ac:dyDescent="0.25">
      <c r="A2" s="197" t="s">
        <v>122</v>
      </c>
      <c r="B2" s="197"/>
      <c r="C2" s="197"/>
      <c r="D2" s="197"/>
      <c r="E2" s="197"/>
      <c r="F2" s="197"/>
      <c r="G2" s="197"/>
    </row>
    <row r="3" spans="1:7" ht="15.75" x14ac:dyDescent="0.25">
      <c r="A3" s="197" t="s">
        <v>123</v>
      </c>
      <c r="B3" s="197"/>
      <c r="C3" s="197"/>
      <c r="D3" s="197"/>
      <c r="E3" s="197"/>
      <c r="F3" s="197"/>
      <c r="G3" s="197"/>
    </row>
    <row r="4" spans="1:7" ht="16.5" customHeight="1" x14ac:dyDescent="0.25">
      <c r="A4" s="82"/>
      <c r="B4" s="82"/>
      <c r="C4" s="82"/>
      <c r="D4" s="82"/>
      <c r="E4" s="82"/>
      <c r="F4" s="82"/>
      <c r="G4" s="82"/>
    </row>
    <row r="5" spans="1:7" ht="12.75" customHeight="1" thickBot="1" x14ac:dyDescent="0.3">
      <c r="A5" s="82"/>
      <c r="B5" s="82"/>
      <c r="C5" s="82"/>
      <c r="D5" s="82"/>
      <c r="E5" s="82"/>
      <c r="F5" s="82"/>
      <c r="G5" s="82"/>
    </row>
    <row r="6" spans="1:7" ht="63" x14ac:dyDescent="0.25">
      <c r="A6" s="83" t="s">
        <v>282</v>
      </c>
      <c r="B6" s="84" t="s">
        <v>75</v>
      </c>
      <c r="C6" s="84" t="s">
        <v>76</v>
      </c>
      <c r="D6" s="85"/>
      <c r="E6" s="84" t="s">
        <v>77</v>
      </c>
      <c r="F6" s="84" t="s">
        <v>78</v>
      </c>
      <c r="G6" s="86" t="s">
        <v>79</v>
      </c>
    </row>
    <row r="7" spans="1:7" x14ac:dyDescent="0.25">
      <c r="A7" s="11"/>
      <c r="B7" s="12"/>
      <c r="C7" s="12"/>
      <c r="D7" s="58"/>
      <c r="E7" s="12"/>
      <c r="F7" s="12"/>
      <c r="G7" s="12"/>
    </row>
    <row r="8" spans="1:7" x14ac:dyDescent="0.25">
      <c r="A8" s="11"/>
      <c r="B8" s="12"/>
      <c r="C8" s="12"/>
      <c r="D8" s="58"/>
      <c r="E8" s="12"/>
      <c r="F8" s="12"/>
      <c r="G8" s="12"/>
    </row>
    <row r="9" spans="1:7" x14ac:dyDescent="0.25">
      <c r="A9" s="11"/>
      <c r="B9" s="12"/>
      <c r="C9" s="12"/>
      <c r="D9" s="58"/>
      <c r="E9" s="12"/>
      <c r="F9" s="12"/>
      <c r="G9" s="12"/>
    </row>
    <row r="10" spans="1:7" x14ac:dyDescent="0.25">
      <c r="A10" s="11"/>
      <c r="B10" s="12"/>
      <c r="C10" s="12"/>
      <c r="D10" s="58"/>
      <c r="E10" s="12"/>
      <c r="F10" s="12"/>
      <c r="G10" s="12"/>
    </row>
    <row r="11" spans="1:7" x14ac:dyDescent="0.25">
      <c r="A11" s="11"/>
      <c r="B11" s="12"/>
      <c r="C11" s="12"/>
      <c r="D11" s="58"/>
      <c r="E11" s="12"/>
      <c r="F11" s="12"/>
      <c r="G11" s="12"/>
    </row>
    <row r="12" spans="1:7" x14ac:dyDescent="0.25">
      <c r="A12" s="11"/>
      <c r="B12" s="12"/>
      <c r="C12" s="12"/>
      <c r="D12" s="58"/>
      <c r="E12" s="12"/>
      <c r="F12" s="12"/>
      <c r="G12" s="12"/>
    </row>
    <row r="13" spans="1:7" x14ac:dyDescent="0.25">
      <c r="A13" s="11"/>
      <c r="B13" s="12"/>
      <c r="C13" s="12"/>
      <c r="D13" s="58"/>
      <c r="E13" s="12"/>
      <c r="F13" s="12"/>
      <c r="G13" s="12"/>
    </row>
    <row r="14" spans="1:7" x14ac:dyDescent="0.25">
      <c r="A14" s="11"/>
      <c r="B14" s="12"/>
      <c r="C14" s="12"/>
      <c r="D14" s="58"/>
      <c r="E14" s="12"/>
      <c r="F14" s="12"/>
      <c r="G14" s="12"/>
    </row>
    <row r="15" spans="1:7" x14ac:dyDescent="0.25">
      <c r="A15" s="11"/>
      <c r="B15" s="12"/>
      <c r="C15" s="12"/>
      <c r="D15" s="58"/>
      <c r="E15" s="12"/>
      <c r="F15" s="12"/>
      <c r="G15" s="12"/>
    </row>
    <row r="16" spans="1:7" x14ac:dyDescent="0.25">
      <c r="A16" s="11"/>
      <c r="B16" s="12"/>
      <c r="C16" s="12"/>
      <c r="D16" s="58"/>
      <c r="E16" s="12"/>
      <c r="F16" s="12"/>
      <c r="G16" s="12"/>
    </row>
    <row r="17" spans="1:7" x14ac:dyDescent="0.25">
      <c r="A17" s="11"/>
      <c r="B17" s="12"/>
      <c r="C17" s="12"/>
      <c r="D17" s="58"/>
      <c r="E17" s="12"/>
      <c r="F17" s="12"/>
      <c r="G17" s="12"/>
    </row>
    <row r="18" spans="1:7" x14ac:dyDescent="0.25">
      <c r="A18" s="11"/>
      <c r="B18" s="12"/>
      <c r="C18" s="12"/>
      <c r="D18" s="58"/>
      <c r="E18" s="12"/>
      <c r="F18" s="12"/>
      <c r="G18" s="12"/>
    </row>
    <row r="19" spans="1:7" x14ac:dyDescent="0.25">
      <c r="A19" s="11"/>
      <c r="B19" s="12"/>
      <c r="C19" s="12"/>
      <c r="D19" s="58"/>
      <c r="E19" s="12"/>
      <c r="F19" s="12"/>
      <c r="G19" s="12"/>
    </row>
    <row r="20" spans="1:7" x14ac:dyDescent="0.25">
      <c r="A20" s="11"/>
      <c r="B20" s="12"/>
      <c r="C20" s="12"/>
      <c r="D20" s="58"/>
      <c r="E20" s="12"/>
      <c r="F20" s="12"/>
      <c r="G20" s="12"/>
    </row>
    <row r="21" spans="1:7" x14ac:dyDescent="0.25">
      <c r="A21" s="11"/>
      <c r="B21" s="12"/>
      <c r="C21" s="12"/>
      <c r="D21" s="58"/>
      <c r="E21" s="12"/>
      <c r="F21" s="12"/>
      <c r="G21" s="12"/>
    </row>
    <row r="22" spans="1:7" x14ac:dyDescent="0.25">
      <c r="A22" s="11"/>
      <c r="B22" s="12"/>
      <c r="C22" s="12"/>
      <c r="D22" s="58"/>
      <c r="E22" s="12"/>
      <c r="F22" s="12"/>
      <c r="G22" s="12"/>
    </row>
    <row r="23" spans="1:7" x14ac:dyDescent="0.25">
      <c r="A23" s="11"/>
      <c r="B23" s="12"/>
      <c r="C23" s="12"/>
      <c r="D23" s="58"/>
      <c r="E23" s="12"/>
      <c r="F23" s="12"/>
      <c r="G23" s="12"/>
    </row>
    <row r="24" spans="1:7" x14ac:dyDescent="0.25">
      <c r="A24" s="11"/>
      <c r="B24" s="12"/>
      <c r="C24" s="12"/>
      <c r="D24" s="58"/>
      <c r="E24" s="12"/>
      <c r="F24" s="12"/>
      <c r="G24" s="12"/>
    </row>
    <row r="25" spans="1:7" x14ac:dyDescent="0.25">
      <c r="A25" s="11"/>
      <c r="B25" s="12"/>
      <c r="C25" s="12"/>
      <c r="D25" s="58"/>
      <c r="E25" s="12"/>
      <c r="F25" s="12"/>
      <c r="G25" s="12"/>
    </row>
    <row r="26" spans="1:7" x14ac:dyDescent="0.25">
      <c r="A26" s="11"/>
      <c r="B26" s="12"/>
      <c r="C26" s="12"/>
      <c r="D26" s="58"/>
      <c r="E26" s="12"/>
      <c r="F26" s="12"/>
      <c r="G26" s="12"/>
    </row>
    <row r="27" spans="1:7" x14ac:dyDescent="0.25">
      <c r="A27" s="11"/>
      <c r="B27" s="12"/>
      <c r="C27" s="12"/>
      <c r="D27" s="58"/>
      <c r="E27" s="12"/>
      <c r="F27" s="12"/>
      <c r="G27" s="12"/>
    </row>
    <row r="28" spans="1:7" x14ac:dyDescent="0.25">
      <c r="A28" s="11"/>
      <c r="B28" s="12"/>
      <c r="C28" s="12"/>
      <c r="D28" s="58"/>
      <c r="E28" s="12"/>
      <c r="F28" s="12"/>
      <c r="G28" s="12"/>
    </row>
    <row r="29" spans="1:7" x14ac:dyDescent="0.25">
      <c r="A29" s="11"/>
      <c r="B29" s="12"/>
      <c r="C29" s="12"/>
      <c r="D29" s="58"/>
      <c r="E29" s="12"/>
      <c r="F29" s="12"/>
      <c r="G29" s="12"/>
    </row>
    <row r="30" spans="1:7" x14ac:dyDescent="0.25">
      <c r="A30" s="11"/>
      <c r="B30" s="12"/>
      <c r="C30" s="12"/>
      <c r="D30" s="58"/>
      <c r="E30" s="12"/>
      <c r="F30" s="12"/>
      <c r="G30" s="12"/>
    </row>
    <row r="31" spans="1:7" x14ac:dyDescent="0.25">
      <c r="A31" s="11"/>
      <c r="B31" s="12"/>
      <c r="C31" s="12"/>
      <c r="D31" s="58"/>
      <c r="E31" s="12"/>
      <c r="F31" s="12"/>
      <c r="G31" s="12"/>
    </row>
    <row r="32" spans="1:7" x14ac:dyDescent="0.25">
      <c r="A32" s="11"/>
      <c r="B32" s="12"/>
      <c r="C32" s="12"/>
      <c r="D32" s="58"/>
      <c r="E32" s="12"/>
      <c r="F32" s="12"/>
      <c r="G32" s="12"/>
    </row>
    <row r="33" spans="1:7" x14ac:dyDescent="0.25">
      <c r="A33" s="11"/>
      <c r="B33" s="12"/>
      <c r="C33" s="12"/>
      <c r="D33" s="58"/>
      <c r="E33" s="12"/>
      <c r="F33" s="12"/>
      <c r="G33" s="12"/>
    </row>
    <row r="34" spans="1:7" x14ac:dyDescent="0.25">
      <c r="A34" s="11"/>
      <c r="B34" s="12"/>
      <c r="C34" s="12"/>
      <c r="D34" s="58"/>
      <c r="E34" s="12"/>
      <c r="F34" s="12"/>
      <c r="G34" s="12"/>
    </row>
    <row r="35" spans="1:7" x14ac:dyDescent="0.25">
      <c r="A35" s="11"/>
      <c r="B35" s="12"/>
      <c r="C35" s="12"/>
      <c r="D35" s="58"/>
      <c r="E35" s="12"/>
      <c r="F35" s="12"/>
      <c r="G35" s="12"/>
    </row>
    <row r="36" spans="1:7" x14ac:dyDescent="0.25">
      <c r="A36" s="11"/>
      <c r="B36" s="12"/>
      <c r="C36" s="12"/>
      <c r="D36" s="58"/>
      <c r="E36" s="12"/>
      <c r="F36" s="12"/>
      <c r="G36" s="12"/>
    </row>
    <row r="37" spans="1:7" x14ac:dyDescent="0.25">
      <c r="A37" s="11"/>
      <c r="B37" s="12"/>
      <c r="C37" s="12"/>
      <c r="D37" s="58"/>
      <c r="E37" s="12"/>
      <c r="F37" s="12"/>
      <c r="G37" s="12"/>
    </row>
    <row r="38" spans="1:7" x14ac:dyDescent="0.25">
      <c r="A38" s="11"/>
      <c r="B38" s="12"/>
      <c r="C38" s="12"/>
      <c r="D38" s="58"/>
      <c r="E38" s="12"/>
      <c r="F38" s="12"/>
      <c r="G38" s="12"/>
    </row>
    <row r="39" spans="1:7" x14ac:dyDescent="0.25">
      <c r="A39" s="11"/>
      <c r="B39" s="12"/>
      <c r="C39" s="12"/>
      <c r="D39" s="58"/>
      <c r="E39" s="12"/>
      <c r="F39" s="12"/>
      <c r="G39" s="12"/>
    </row>
    <row r="40" spans="1:7" x14ac:dyDescent="0.25">
      <c r="A40" s="11"/>
      <c r="B40" s="12"/>
      <c r="C40" s="12"/>
      <c r="D40" s="58"/>
      <c r="E40" s="12"/>
      <c r="F40" s="12"/>
      <c r="G40" s="12"/>
    </row>
    <row r="41" spans="1:7" x14ac:dyDescent="0.25">
      <c r="A41" s="11"/>
      <c r="B41" s="12"/>
      <c r="C41" s="12"/>
      <c r="D41" s="58"/>
      <c r="E41" s="12"/>
      <c r="F41" s="12"/>
      <c r="G41" s="12"/>
    </row>
    <row r="42" spans="1:7" x14ac:dyDescent="0.25">
      <c r="A42" s="11"/>
      <c r="B42" s="12"/>
      <c r="C42" s="12"/>
      <c r="D42" s="58"/>
      <c r="E42" s="12"/>
      <c r="F42" s="12"/>
      <c r="G42" s="12"/>
    </row>
    <row r="43" spans="1:7" x14ac:dyDescent="0.25">
      <c r="A43" s="11"/>
      <c r="B43" s="12"/>
      <c r="C43" s="12"/>
      <c r="D43" s="58"/>
      <c r="E43" s="12"/>
      <c r="F43" s="12"/>
      <c r="G43" s="12"/>
    </row>
    <row r="44" spans="1:7" x14ac:dyDescent="0.25">
      <c r="A44" s="11"/>
      <c r="B44" s="12"/>
      <c r="C44" s="12"/>
      <c r="D44" s="58"/>
      <c r="E44" s="12"/>
      <c r="F44" s="12"/>
      <c r="G44" s="12"/>
    </row>
    <row r="45" spans="1:7" x14ac:dyDescent="0.25">
      <c r="A45" s="11"/>
      <c r="B45" s="12"/>
      <c r="C45" s="12"/>
      <c r="D45" s="58"/>
      <c r="E45" s="12"/>
      <c r="F45" s="12"/>
      <c r="G45" s="12"/>
    </row>
    <row r="46" spans="1:7" x14ac:dyDescent="0.25">
      <c r="A46" s="11"/>
      <c r="B46" s="12"/>
      <c r="C46" s="12"/>
      <c r="D46" s="58"/>
      <c r="E46" s="12"/>
      <c r="F46" s="12"/>
      <c r="G46" s="12"/>
    </row>
    <row r="47" spans="1:7" x14ac:dyDescent="0.25">
      <c r="A47" s="11"/>
      <c r="B47" s="12"/>
      <c r="C47" s="12"/>
      <c r="D47" s="58"/>
      <c r="E47" s="12"/>
      <c r="F47" s="12"/>
      <c r="G47" s="12"/>
    </row>
    <row r="48" spans="1:7" x14ac:dyDescent="0.25">
      <c r="A48" s="11"/>
      <c r="B48" s="12"/>
      <c r="C48" s="12"/>
      <c r="D48" s="58"/>
      <c r="E48" s="12"/>
      <c r="F48" s="12"/>
      <c r="G48" s="12"/>
    </row>
    <row r="49" spans="1:7" x14ac:dyDescent="0.25">
      <c r="A49" s="11"/>
      <c r="B49" s="12"/>
      <c r="C49" s="12"/>
      <c r="D49" s="58"/>
      <c r="E49" s="12"/>
      <c r="F49" s="12"/>
      <c r="G49" s="12"/>
    </row>
    <row r="50" spans="1:7" x14ac:dyDescent="0.25">
      <c r="A50" s="11"/>
      <c r="B50" s="12"/>
      <c r="C50" s="12"/>
      <c r="D50" s="58"/>
      <c r="E50" s="12"/>
      <c r="F50" s="12"/>
      <c r="G50" s="12"/>
    </row>
    <row r="51" spans="1:7" x14ac:dyDescent="0.25">
      <c r="A51" s="11"/>
      <c r="B51" s="12"/>
      <c r="C51" s="12"/>
      <c r="D51" s="58"/>
      <c r="E51" s="12"/>
      <c r="F51" s="12"/>
      <c r="G51" s="12"/>
    </row>
    <row r="52" spans="1:7" x14ac:dyDescent="0.25">
      <c r="A52" s="11"/>
      <c r="B52" s="12"/>
      <c r="C52" s="12"/>
      <c r="D52" s="58"/>
      <c r="E52" s="12"/>
      <c r="F52" s="12"/>
      <c r="G52" s="12"/>
    </row>
    <row r="53" spans="1:7" x14ac:dyDescent="0.25">
      <c r="A53" s="11"/>
      <c r="B53" s="12"/>
      <c r="C53" s="12"/>
      <c r="D53" s="58"/>
      <c r="E53" s="12"/>
      <c r="F53" s="12"/>
      <c r="G53" s="12"/>
    </row>
    <row r="54" spans="1:7" x14ac:dyDescent="0.25">
      <c r="A54" s="11"/>
      <c r="B54" s="12"/>
      <c r="C54" s="12"/>
      <c r="D54" s="58"/>
      <c r="E54" s="12"/>
      <c r="F54" s="12"/>
      <c r="G54" s="12"/>
    </row>
    <row r="55" spans="1:7" x14ac:dyDescent="0.25">
      <c r="A55" s="11"/>
      <c r="B55" s="12"/>
      <c r="C55" s="12"/>
      <c r="D55" s="58"/>
      <c r="E55" s="12"/>
      <c r="F55" s="12"/>
      <c r="G55" s="12"/>
    </row>
    <row r="56" spans="1:7" x14ac:dyDescent="0.25">
      <c r="A56" s="11"/>
      <c r="B56" s="12"/>
      <c r="C56" s="12"/>
      <c r="D56" s="58"/>
      <c r="E56" s="12"/>
      <c r="F56" s="12"/>
      <c r="G56" s="12"/>
    </row>
    <row r="57" spans="1:7" x14ac:dyDescent="0.25">
      <c r="A57" s="11"/>
      <c r="B57" s="12"/>
      <c r="C57" s="12"/>
      <c r="D57" s="58"/>
      <c r="E57" s="12"/>
      <c r="F57" s="12"/>
      <c r="G57" s="12"/>
    </row>
    <row r="58" spans="1:7" x14ac:dyDescent="0.25">
      <c r="A58" s="11"/>
      <c r="B58" s="12"/>
      <c r="C58" s="12"/>
      <c r="D58" s="58"/>
      <c r="E58" s="12"/>
      <c r="F58" s="12"/>
      <c r="G58" s="12"/>
    </row>
    <row r="59" spans="1:7" x14ac:dyDescent="0.25">
      <c r="A59" s="11"/>
      <c r="B59" s="12"/>
      <c r="C59" s="12"/>
      <c r="D59" s="58"/>
      <c r="E59" s="12"/>
      <c r="F59" s="12"/>
      <c r="G59" s="12"/>
    </row>
    <row r="60" spans="1:7" x14ac:dyDescent="0.25">
      <c r="A60" s="11"/>
      <c r="B60" s="12"/>
      <c r="C60" s="12"/>
      <c r="D60" s="58"/>
      <c r="E60" s="12"/>
      <c r="F60" s="12"/>
      <c r="G60" s="12"/>
    </row>
    <row r="61" spans="1:7" x14ac:dyDescent="0.25">
      <c r="A61" s="11"/>
      <c r="B61" s="12"/>
      <c r="C61" s="12"/>
      <c r="D61" s="58"/>
      <c r="E61" s="12"/>
      <c r="F61" s="12"/>
      <c r="G61" s="12"/>
    </row>
    <row r="62" spans="1:7" x14ac:dyDescent="0.25">
      <c r="A62" s="11"/>
      <c r="B62" s="12"/>
      <c r="C62" s="12"/>
      <c r="D62" s="58"/>
      <c r="E62" s="12"/>
      <c r="F62" s="12"/>
      <c r="G62" s="12"/>
    </row>
    <row r="63" spans="1:7" x14ac:dyDescent="0.25">
      <c r="A63" s="11"/>
      <c r="B63" s="12"/>
      <c r="C63" s="12"/>
      <c r="D63" s="58"/>
      <c r="E63" s="12"/>
      <c r="F63" s="12"/>
      <c r="G63" s="12"/>
    </row>
    <row r="64" spans="1:7" x14ac:dyDescent="0.25">
      <c r="A64" s="11"/>
      <c r="B64" s="12"/>
      <c r="C64" s="12"/>
      <c r="D64" s="58"/>
      <c r="E64" s="12"/>
      <c r="F64" s="12"/>
      <c r="G64" s="12"/>
    </row>
    <row r="65" spans="1:7" x14ac:dyDescent="0.25">
      <c r="A65" s="11"/>
      <c r="B65" s="12"/>
      <c r="C65" s="12"/>
      <c r="D65" s="58"/>
      <c r="E65" s="12"/>
      <c r="F65" s="12"/>
      <c r="G65" s="12"/>
    </row>
    <row r="66" spans="1:7" x14ac:dyDescent="0.25">
      <c r="A66" s="11"/>
      <c r="B66" s="12"/>
      <c r="C66" s="12"/>
      <c r="D66" s="58"/>
      <c r="E66" s="12"/>
      <c r="F66" s="12"/>
      <c r="G66" s="12"/>
    </row>
    <row r="67" spans="1:7" x14ac:dyDescent="0.25">
      <c r="A67" s="11"/>
      <c r="B67" s="12"/>
      <c r="C67" s="12"/>
      <c r="D67" s="58"/>
      <c r="E67" s="12"/>
      <c r="F67" s="12"/>
      <c r="G67" s="12"/>
    </row>
    <row r="68" spans="1:7" x14ac:dyDescent="0.25">
      <c r="A68" s="11"/>
      <c r="B68" s="12"/>
      <c r="C68" s="12"/>
      <c r="D68" s="58"/>
      <c r="E68" s="12"/>
      <c r="F68" s="12"/>
      <c r="G68" s="12"/>
    </row>
    <row r="69" spans="1:7" x14ac:dyDescent="0.25">
      <c r="A69" s="11"/>
      <c r="B69" s="12"/>
      <c r="C69" s="12"/>
      <c r="D69" s="58"/>
      <c r="E69" s="12"/>
      <c r="F69" s="12"/>
      <c r="G69" s="12"/>
    </row>
    <row r="70" spans="1:7" x14ac:dyDescent="0.25">
      <c r="A70" s="11"/>
      <c r="B70" s="12"/>
      <c r="C70" s="12"/>
      <c r="D70" s="58"/>
      <c r="E70" s="12"/>
      <c r="F70" s="12"/>
      <c r="G70" s="12"/>
    </row>
    <row r="71" spans="1:7" x14ac:dyDescent="0.25">
      <c r="A71" s="11"/>
      <c r="B71" s="12"/>
      <c r="C71" s="12"/>
      <c r="D71" s="58"/>
      <c r="E71" s="12"/>
      <c r="F71" s="12"/>
      <c r="G71" s="12"/>
    </row>
    <row r="72" spans="1:7" x14ac:dyDescent="0.25">
      <c r="A72" s="11"/>
      <c r="B72" s="12"/>
      <c r="C72" s="12"/>
      <c r="D72" s="58"/>
      <c r="E72" s="12"/>
      <c r="F72" s="12"/>
      <c r="G72" s="12"/>
    </row>
    <row r="73" spans="1:7" x14ac:dyDescent="0.25">
      <c r="A73" s="11"/>
      <c r="B73" s="12"/>
      <c r="C73" s="12"/>
      <c r="D73" s="58"/>
      <c r="E73" s="12"/>
      <c r="F73" s="12"/>
      <c r="G73" s="12"/>
    </row>
    <row r="74" spans="1:7" x14ac:dyDescent="0.25">
      <c r="A74" s="11"/>
      <c r="B74" s="12"/>
      <c r="C74" s="12"/>
      <c r="D74" s="58"/>
      <c r="E74" s="12"/>
      <c r="F74" s="12"/>
      <c r="G74" s="12"/>
    </row>
    <row r="75" spans="1:7" x14ac:dyDescent="0.25">
      <c r="A75" s="11"/>
      <c r="B75" s="12"/>
      <c r="C75" s="12"/>
      <c r="D75" s="58"/>
      <c r="E75" s="12"/>
      <c r="F75" s="12"/>
      <c r="G75" s="12"/>
    </row>
    <row r="76" spans="1:7" x14ac:dyDescent="0.25">
      <c r="A76" s="11"/>
      <c r="B76" s="12"/>
      <c r="C76" s="12"/>
      <c r="D76" s="58"/>
      <c r="E76" s="12"/>
      <c r="F76" s="12"/>
      <c r="G76" s="12"/>
    </row>
    <row r="77" spans="1:7" x14ac:dyDescent="0.25">
      <c r="A77" s="11"/>
      <c r="B77" s="12"/>
      <c r="C77" s="12"/>
      <c r="D77" s="58"/>
      <c r="E77" s="12"/>
      <c r="F77" s="12"/>
      <c r="G77" s="12"/>
    </row>
    <row r="78" spans="1:7" x14ac:dyDescent="0.25">
      <c r="A78" s="11"/>
      <c r="B78" s="12"/>
      <c r="C78" s="12"/>
      <c r="D78" s="58"/>
      <c r="E78" s="12"/>
      <c r="F78" s="12"/>
      <c r="G78" s="12"/>
    </row>
    <row r="79" spans="1:7" x14ac:dyDescent="0.25">
      <c r="A79" s="11"/>
      <c r="B79" s="12"/>
      <c r="C79" s="12"/>
      <c r="D79" s="58"/>
      <c r="E79" s="12"/>
      <c r="F79" s="12"/>
      <c r="G79" s="12"/>
    </row>
    <row r="80" spans="1:7" x14ac:dyDescent="0.25">
      <c r="A80" s="11"/>
      <c r="B80" s="12"/>
      <c r="C80" s="12"/>
      <c r="D80" s="58"/>
      <c r="E80" s="12"/>
      <c r="F80" s="12"/>
      <c r="G80" s="12"/>
    </row>
    <row r="81" spans="1:7" x14ac:dyDescent="0.25">
      <c r="A81" s="11"/>
      <c r="B81" s="12"/>
      <c r="C81" s="12"/>
      <c r="D81" s="58"/>
      <c r="E81" s="12"/>
      <c r="F81" s="12"/>
      <c r="G81" s="12"/>
    </row>
    <row r="82" spans="1:7" x14ac:dyDescent="0.25">
      <c r="A82" s="11"/>
      <c r="B82" s="12"/>
      <c r="C82" s="12"/>
      <c r="D82" s="58"/>
      <c r="E82" s="12"/>
      <c r="F82" s="12"/>
      <c r="G82" s="12"/>
    </row>
    <row r="83" spans="1:7" x14ac:dyDescent="0.25">
      <c r="A83" s="11"/>
      <c r="B83" s="12"/>
      <c r="C83" s="12"/>
      <c r="D83" s="58"/>
      <c r="E83" s="12"/>
      <c r="F83" s="12"/>
      <c r="G83" s="12"/>
    </row>
    <row r="84" spans="1:7" x14ac:dyDescent="0.25">
      <c r="A84" s="11"/>
      <c r="B84" s="12"/>
      <c r="C84" s="12"/>
      <c r="D84" s="58"/>
      <c r="E84" s="12"/>
      <c r="F84" s="12"/>
      <c r="G84" s="12"/>
    </row>
    <row r="85" spans="1:7" x14ac:dyDescent="0.25">
      <c r="A85" s="11"/>
      <c r="B85" s="12"/>
      <c r="C85" s="12"/>
      <c r="D85" s="58"/>
      <c r="E85" s="12"/>
      <c r="F85" s="12"/>
      <c r="G85" s="12"/>
    </row>
    <row r="86" spans="1:7" x14ac:dyDescent="0.25">
      <c r="A86" s="11"/>
      <c r="B86" s="12"/>
      <c r="C86" s="12"/>
      <c r="D86" s="58"/>
      <c r="E86" s="12"/>
      <c r="F86" s="12"/>
      <c r="G86" s="12"/>
    </row>
    <row r="87" spans="1:7" x14ac:dyDescent="0.25">
      <c r="A87" s="11"/>
      <c r="B87" s="12"/>
      <c r="C87" s="12"/>
      <c r="D87" s="58"/>
      <c r="E87" s="12"/>
      <c r="F87" s="12"/>
      <c r="G87" s="12"/>
    </row>
    <row r="88" spans="1:7" x14ac:dyDescent="0.25">
      <c r="A88" s="11"/>
      <c r="B88" s="12"/>
      <c r="C88" s="12"/>
      <c r="D88" s="58"/>
      <c r="E88" s="12"/>
      <c r="F88" s="12"/>
      <c r="G88" s="12"/>
    </row>
    <row r="89" spans="1:7" x14ac:dyDescent="0.25">
      <c r="A89" s="11"/>
      <c r="B89" s="12"/>
      <c r="C89" s="12"/>
      <c r="D89" s="58"/>
      <c r="E89" s="12"/>
      <c r="F89" s="12"/>
      <c r="G89" s="12"/>
    </row>
    <row r="90" spans="1:7" x14ac:dyDescent="0.25">
      <c r="A90" s="11"/>
      <c r="B90" s="12"/>
      <c r="C90" s="12"/>
      <c r="D90" s="58"/>
      <c r="E90" s="12"/>
      <c r="F90" s="12"/>
      <c r="G90" s="12"/>
    </row>
    <row r="91" spans="1:7" x14ac:dyDescent="0.25">
      <c r="A91" s="11"/>
      <c r="B91" s="12"/>
      <c r="C91" s="12"/>
      <c r="D91" s="58"/>
      <c r="E91" s="12"/>
      <c r="F91" s="12"/>
      <c r="G91" s="12"/>
    </row>
    <row r="92" spans="1:7" x14ac:dyDescent="0.25">
      <c r="A92" s="11"/>
      <c r="B92" s="12"/>
      <c r="C92" s="12"/>
      <c r="D92" s="58"/>
      <c r="E92" s="12"/>
      <c r="F92" s="12"/>
      <c r="G92" s="12"/>
    </row>
    <row r="93" spans="1:7" x14ac:dyDescent="0.25">
      <c r="A93" s="11"/>
      <c r="B93" s="12"/>
      <c r="C93" s="12"/>
      <c r="D93" s="58"/>
      <c r="E93" s="12"/>
      <c r="F93" s="12"/>
      <c r="G93" s="12"/>
    </row>
    <row r="94" spans="1:7" x14ac:dyDescent="0.25">
      <c r="A94" s="11"/>
      <c r="B94" s="12"/>
      <c r="C94" s="12"/>
      <c r="D94" s="58"/>
      <c r="E94" s="12"/>
      <c r="F94" s="12"/>
      <c r="G94" s="12"/>
    </row>
    <row r="95" spans="1:7" x14ac:dyDescent="0.25">
      <c r="A95" s="11"/>
      <c r="B95" s="12"/>
      <c r="C95" s="12"/>
      <c r="D95" s="58"/>
      <c r="E95" s="12"/>
      <c r="F95" s="12"/>
      <c r="G95" s="12"/>
    </row>
    <row r="96" spans="1:7" x14ac:dyDescent="0.25">
      <c r="A96" s="11"/>
      <c r="B96" s="12"/>
      <c r="C96" s="12"/>
      <c r="D96" s="58"/>
      <c r="E96" s="12"/>
      <c r="F96" s="12"/>
      <c r="G96" s="12"/>
    </row>
    <row r="97" spans="1:8" x14ac:dyDescent="0.25">
      <c r="A97" s="11"/>
      <c r="B97" s="12"/>
      <c r="C97" s="12"/>
      <c r="D97" s="58"/>
      <c r="E97" s="12"/>
      <c r="F97" s="12"/>
      <c r="G97" s="12"/>
    </row>
    <row r="98" spans="1:8" x14ac:dyDescent="0.25">
      <c r="A98" s="11"/>
      <c r="B98" s="12"/>
      <c r="C98" s="12"/>
      <c r="D98" s="58"/>
      <c r="E98" s="12"/>
      <c r="F98" s="12"/>
      <c r="G98" s="12"/>
    </row>
    <row r="99" spans="1:8" x14ac:dyDescent="0.25">
      <c r="A99" s="11"/>
      <c r="B99" s="12"/>
      <c r="C99" s="12"/>
      <c r="D99" s="58"/>
      <c r="E99" s="12"/>
      <c r="F99" s="12"/>
      <c r="G99" s="12"/>
    </row>
    <row r="100" spans="1:8" x14ac:dyDescent="0.25">
      <c r="A100" s="11"/>
      <c r="B100" s="12"/>
      <c r="C100" s="12"/>
      <c r="D100" s="58"/>
      <c r="E100" s="12"/>
      <c r="F100" s="12"/>
      <c r="G100" s="12"/>
    </row>
    <row r="101" spans="1:8" x14ac:dyDescent="0.25">
      <c r="A101" s="11"/>
      <c r="B101" s="12"/>
      <c r="C101" s="12"/>
      <c r="D101" s="58"/>
      <c r="E101" s="12"/>
      <c r="F101" s="12"/>
      <c r="G101" s="12"/>
    </row>
    <row r="102" spans="1:8" x14ac:dyDescent="0.25">
      <c r="A102" s="27"/>
      <c r="B102" s="30"/>
      <c r="C102" s="30"/>
      <c r="D102" s="58"/>
      <c r="E102" s="30"/>
      <c r="F102" s="30"/>
      <c r="G102" s="30"/>
    </row>
    <row r="104" spans="1:8" ht="21" x14ac:dyDescent="0.25">
      <c r="A104" s="196" t="s">
        <v>273</v>
      </c>
      <c r="B104" s="196"/>
      <c r="C104" s="196"/>
      <c r="D104" s="196"/>
      <c r="E104" s="196"/>
      <c r="F104" s="196"/>
      <c r="G104" s="196"/>
      <c r="H104" s="196"/>
    </row>
    <row r="105" spans="1:8" ht="21" x14ac:dyDescent="0.25">
      <c r="A105" s="196"/>
      <c r="B105" s="196"/>
      <c r="C105" s="196"/>
      <c r="D105" s="196"/>
      <c r="E105" s="196"/>
      <c r="F105" s="196"/>
      <c r="G105" s="196"/>
      <c r="H105" s="196"/>
    </row>
  </sheetData>
  <mergeCells count="4">
    <mergeCell ref="A2:G2"/>
    <mergeCell ref="A3:G3"/>
    <mergeCell ref="A104:H104"/>
    <mergeCell ref="A105:H105"/>
  </mergeCells>
  <pageMargins left="0.7" right="0.7" top="0.75" bottom="0.75" header="0.3" footer="0.3"/>
  <pageSetup paperSize="9" orientation="portrait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'Р 1. "Общие сведения"'!$I$7:$I$179</xm:f>
          </x14:formula1>
          <xm:sqref>A7:A102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7"/>
  <dimension ref="A2:L284"/>
  <sheetViews>
    <sheetView view="pageBreakPreview" zoomScale="85" zoomScaleNormal="100" zoomScaleSheetLayoutView="85" workbookViewId="0">
      <selection activeCell="A6" sqref="A6:D6"/>
    </sheetView>
  </sheetViews>
  <sheetFormatPr defaultRowHeight="15" x14ac:dyDescent="0.25"/>
  <cols>
    <col min="1" max="1" width="45.28515625" customWidth="1"/>
    <col min="2" max="2" width="35.42578125" customWidth="1"/>
    <col min="3" max="3" width="46.85546875" customWidth="1"/>
    <col min="4" max="4" width="45.85546875" customWidth="1"/>
    <col min="5" max="5" width="30" customWidth="1"/>
    <col min="6" max="6" width="19.28515625" customWidth="1"/>
  </cols>
  <sheetData>
    <row r="2" spans="1:12" x14ac:dyDescent="0.25">
      <c r="A2" s="198" t="s">
        <v>167</v>
      </c>
      <c r="B2" s="198"/>
      <c r="C2" s="198"/>
      <c r="D2" s="198"/>
      <c r="E2" s="198"/>
    </row>
    <row r="3" spans="1:12" x14ac:dyDescent="0.25">
      <c r="A3" s="199" t="s">
        <v>168</v>
      </c>
      <c r="B3" s="199"/>
      <c r="C3" s="199"/>
      <c r="D3" s="199"/>
      <c r="E3" s="199"/>
    </row>
    <row r="4" spans="1:12" x14ac:dyDescent="0.25">
      <c r="A4" s="81"/>
      <c r="B4" s="81"/>
      <c r="C4" s="81"/>
      <c r="D4" s="81"/>
      <c r="E4" s="81"/>
    </row>
    <row r="5" spans="1:12" ht="75" x14ac:dyDescent="0.25">
      <c r="A5" s="96" t="s">
        <v>283</v>
      </c>
      <c r="B5" s="97" t="s">
        <v>80</v>
      </c>
      <c r="C5" s="97" t="s">
        <v>81</v>
      </c>
      <c r="D5" s="97" t="s">
        <v>82</v>
      </c>
      <c r="E5" s="98" t="s">
        <v>284</v>
      </c>
      <c r="F5" s="12"/>
      <c r="G5" s="12"/>
      <c r="H5" s="12"/>
      <c r="I5" s="12"/>
      <c r="J5" s="12"/>
      <c r="K5" s="12"/>
      <c r="L5" s="12"/>
    </row>
    <row r="6" spans="1:12" ht="78.75" x14ac:dyDescent="0.25">
      <c r="A6" s="99" t="s">
        <v>362</v>
      </c>
      <c r="B6" s="71" t="s">
        <v>363</v>
      </c>
      <c r="C6" s="71" t="s">
        <v>379</v>
      </c>
      <c r="D6" s="71" t="s">
        <v>60</v>
      </c>
      <c r="E6" s="71" t="s">
        <v>364</v>
      </c>
      <c r="F6" s="12"/>
      <c r="G6" s="12"/>
      <c r="H6" s="12"/>
      <c r="I6" s="12"/>
      <c r="J6" s="12"/>
      <c r="K6" s="12"/>
      <c r="L6" s="12"/>
    </row>
    <row r="7" spans="1:12" ht="15.75" x14ac:dyDescent="0.25">
      <c r="A7" s="99"/>
      <c r="B7" s="71"/>
      <c r="C7" s="95"/>
      <c r="D7" s="71"/>
      <c r="E7" s="71"/>
      <c r="F7" s="12"/>
      <c r="G7" s="12"/>
      <c r="H7" s="12"/>
      <c r="I7" s="12"/>
      <c r="J7" s="12"/>
      <c r="K7" s="12"/>
      <c r="L7" s="12"/>
    </row>
    <row r="8" spans="1:12" ht="15.75" x14ac:dyDescent="0.25">
      <c r="A8" s="99"/>
      <c r="B8" s="71"/>
      <c r="C8" s="71"/>
      <c r="D8" s="71"/>
      <c r="E8" s="71"/>
      <c r="F8" s="12"/>
      <c r="G8" s="12"/>
      <c r="H8" s="12"/>
      <c r="I8" s="12"/>
      <c r="J8" s="12"/>
      <c r="K8" s="12"/>
      <c r="L8" s="12"/>
    </row>
    <row r="9" spans="1:12" ht="15.75" x14ac:dyDescent="0.25">
      <c r="A9" s="99"/>
      <c r="B9" s="71"/>
      <c r="C9" s="71"/>
      <c r="D9" s="71"/>
      <c r="E9" s="71"/>
      <c r="F9" s="12"/>
      <c r="G9" s="12"/>
      <c r="H9" s="12"/>
      <c r="I9" s="12"/>
      <c r="J9" s="12"/>
      <c r="K9" s="12"/>
      <c r="L9" s="12"/>
    </row>
    <row r="10" spans="1:12" ht="15.75" x14ac:dyDescent="0.25">
      <c r="A10" s="99"/>
      <c r="B10" s="71"/>
      <c r="C10" s="71"/>
      <c r="D10" s="71"/>
      <c r="E10" s="71"/>
      <c r="F10" s="12"/>
      <c r="G10" s="12"/>
      <c r="H10" s="12"/>
      <c r="I10" s="12"/>
      <c r="J10" s="12"/>
      <c r="K10" s="12"/>
      <c r="L10" s="12"/>
    </row>
    <row r="11" spans="1:12" ht="15.75" x14ac:dyDescent="0.25">
      <c r="A11" s="99"/>
      <c r="B11" s="71"/>
      <c r="C11" s="71"/>
      <c r="D11" s="71"/>
      <c r="E11" s="71"/>
      <c r="F11" s="12"/>
      <c r="G11" s="12"/>
      <c r="H11" s="12"/>
      <c r="I11" s="12"/>
      <c r="J11" s="12"/>
      <c r="K11" s="12"/>
      <c r="L11" s="12"/>
    </row>
    <row r="12" spans="1:12" ht="15.75" x14ac:dyDescent="0.25">
      <c r="A12" s="99"/>
      <c r="B12" s="71"/>
      <c r="C12" s="71"/>
      <c r="D12" s="71"/>
      <c r="E12" s="71"/>
      <c r="F12" s="12"/>
      <c r="G12" s="12"/>
      <c r="H12" s="12"/>
      <c r="I12" s="12"/>
      <c r="J12" s="12"/>
      <c r="K12" s="12"/>
      <c r="L12" s="12"/>
    </row>
    <row r="13" spans="1:12" ht="15.75" x14ac:dyDescent="0.25">
      <c r="A13" s="99"/>
      <c r="B13" s="71"/>
      <c r="C13" s="71"/>
      <c r="D13" s="71"/>
      <c r="E13" s="71"/>
      <c r="F13" s="12"/>
      <c r="G13" s="12"/>
      <c r="H13" s="12"/>
      <c r="I13" s="12"/>
      <c r="J13" s="12"/>
      <c r="K13" s="12"/>
      <c r="L13" s="12"/>
    </row>
    <row r="14" spans="1:12" x14ac:dyDescent="0.25">
      <c r="A14" s="14"/>
      <c r="B14" s="14"/>
      <c r="C14" s="14"/>
      <c r="D14" s="14"/>
      <c r="E14" s="14"/>
      <c r="F14" s="12"/>
      <c r="G14" s="12"/>
      <c r="H14" s="12"/>
      <c r="I14" s="12"/>
      <c r="J14" s="12"/>
      <c r="K14" s="12"/>
      <c r="L14" s="12"/>
    </row>
    <row r="15" spans="1:12" x14ac:dyDescent="0.25">
      <c r="A15" s="14"/>
      <c r="B15" s="14"/>
      <c r="C15" s="14"/>
      <c r="D15" s="14"/>
      <c r="E15" s="14"/>
      <c r="F15" s="12"/>
      <c r="G15" s="12"/>
      <c r="H15" s="12"/>
      <c r="I15" s="12"/>
      <c r="J15" s="12"/>
      <c r="K15" s="12"/>
      <c r="L15" s="12"/>
    </row>
    <row r="16" spans="1:12" x14ac:dyDescent="0.25">
      <c r="A16" s="14"/>
      <c r="B16" s="14"/>
      <c r="C16" s="14"/>
      <c r="D16" s="14"/>
      <c r="E16" s="14"/>
      <c r="F16" s="12"/>
      <c r="G16" s="12"/>
      <c r="H16" s="12"/>
      <c r="I16" s="12"/>
      <c r="J16" s="12"/>
      <c r="K16" s="12"/>
      <c r="L16" s="12"/>
    </row>
    <row r="17" spans="1:12" x14ac:dyDescent="0.25">
      <c r="A17" s="14"/>
      <c r="B17" s="14"/>
      <c r="C17" s="14"/>
      <c r="D17" s="14"/>
      <c r="E17" s="14"/>
      <c r="F17" s="12"/>
      <c r="G17" s="12"/>
      <c r="H17" s="12"/>
      <c r="I17" s="12"/>
      <c r="J17" s="12"/>
      <c r="K17" s="12"/>
      <c r="L17" s="12"/>
    </row>
    <row r="18" spans="1:12" x14ac:dyDescent="0.25">
      <c r="A18" s="14"/>
      <c r="B18" s="14"/>
      <c r="C18" s="14"/>
      <c r="D18" s="14"/>
      <c r="E18" s="14"/>
      <c r="F18" s="12"/>
      <c r="G18" s="12"/>
      <c r="H18" s="12"/>
      <c r="I18" s="12"/>
      <c r="J18" s="12"/>
      <c r="K18" s="12"/>
      <c r="L18" s="12"/>
    </row>
    <row r="19" spans="1:12" x14ac:dyDescent="0.25">
      <c r="A19" s="14"/>
      <c r="B19" s="14"/>
      <c r="C19" s="14"/>
      <c r="D19" s="14"/>
      <c r="E19" s="14"/>
      <c r="F19" s="12"/>
      <c r="G19" s="12"/>
      <c r="H19" s="12"/>
      <c r="I19" s="12"/>
      <c r="J19" s="12"/>
      <c r="K19" s="12"/>
      <c r="L19" s="12"/>
    </row>
    <row r="20" spans="1:12" x14ac:dyDescent="0.25">
      <c r="A20" s="14"/>
      <c r="B20" s="14"/>
      <c r="C20" s="14"/>
      <c r="D20" s="14"/>
      <c r="E20" s="14"/>
      <c r="F20" s="12"/>
      <c r="G20" s="12"/>
      <c r="H20" s="12"/>
      <c r="I20" s="12"/>
      <c r="J20" s="12"/>
      <c r="K20" s="12"/>
      <c r="L20" s="12"/>
    </row>
    <row r="21" spans="1:12" x14ac:dyDescent="0.25">
      <c r="A21" s="14"/>
      <c r="B21" s="14"/>
      <c r="C21" s="14"/>
      <c r="D21" s="14"/>
      <c r="E21" s="14"/>
      <c r="F21" s="12"/>
      <c r="G21" s="12"/>
      <c r="H21" s="12"/>
      <c r="I21" s="12"/>
      <c r="J21" s="12"/>
      <c r="K21" s="12"/>
      <c r="L21" s="12"/>
    </row>
    <row r="22" spans="1:12" x14ac:dyDescent="0.25">
      <c r="A22" s="14"/>
      <c r="B22" s="14"/>
      <c r="C22" s="14"/>
      <c r="D22" s="14"/>
      <c r="E22" s="14"/>
      <c r="F22" s="12"/>
      <c r="G22" s="12"/>
      <c r="H22" s="12"/>
      <c r="I22" s="12"/>
      <c r="J22" s="12"/>
      <c r="K22" s="12"/>
      <c r="L22" s="12"/>
    </row>
    <row r="23" spans="1:12" x14ac:dyDescent="0.25">
      <c r="A23" s="14"/>
      <c r="B23" s="14"/>
      <c r="C23" s="14"/>
      <c r="D23" s="14"/>
      <c r="E23" s="14"/>
      <c r="F23" s="12"/>
      <c r="G23" s="12"/>
      <c r="H23" s="12"/>
      <c r="I23" s="12"/>
      <c r="J23" s="12"/>
      <c r="K23" s="12"/>
      <c r="L23" s="12"/>
    </row>
    <row r="24" spans="1:12" x14ac:dyDescent="0.25">
      <c r="A24" s="14"/>
      <c r="B24" s="14"/>
      <c r="C24" s="14"/>
      <c r="D24" s="14"/>
      <c r="E24" s="14"/>
      <c r="F24" s="12"/>
      <c r="G24" s="12"/>
      <c r="H24" s="12"/>
      <c r="I24" s="12"/>
      <c r="J24" s="12"/>
      <c r="K24" s="12"/>
      <c r="L24" s="12"/>
    </row>
    <row r="25" spans="1:12" x14ac:dyDescent="0.25">
      <c r="A25" s="14"/>
      <c r="B25" s="14"/>
      <c r="C25" s="14"/>
      <c r="D25" s="14"/>
      <c r="E25" s="14"/>
      <c r="F25" s="12"/>
      <c r="G25" s="12"/>
      <c r="H25" s="12"/>
      <c r="I25" s="12"/>
      <c r="J25" s="12"/>
      <c r="K25" s="12"/>
      <c r="L25" s="12"/>
    </row>
    <row r="26" spans="1:12" x14ac:dyDescent="0.25">
      <c r="A26" s="14"/>
      <c r="B26" s="14"/>
      <c r="C26" s="14"/>
      <c r="D26" s="14"/>
      <c r="E26" s="14"/>
      <c r="F26" s="12"/>
      <c r="G26" s="12"/>
      <c r="H26" s="12"/>
      <c r="I26" s="12"/>
      <c r="J26" s="12"/>
      <c r="K26" s="12"/>
      <c r="L26" s="12"/>
    </row>
    <row r="27" spans="1:12" x14ac:dyDescent="0.25">
      <c r="A27" s="14"/>
      <c r="B27" s="14"/>
      <c r="C27" s="14"/>
      <c r="D27" s="14"/>
      <c r="E27" s="14"/>
      <c r="F27" s="12"/>
      <c r="G27" s="12"/>
      <c r="H27" s="12"/>
      <c r="I27" s="12"/>
      <c r="J27" s="12"/>
      <c r="K27" s="12"/>
      <c r="L27" s="12"/>
    </row>
    <row r="28" spans="1:12" x14ac:dyDescent="0.25">
      <c r="A28" s="14"/>
      <c r="B28" s="14"/>
      <c r="C28" s="14"/>
      <c r="D28" s="14"/>
      <c r="E28" s="14"/>
    </row>
    <row r="29" spans="1:12" x14ac:dyDescent="0.25">
      <c r="A29" s="14"/>
      <c r="B29" s="14"/>
      <c r="C29" s="14"/>
      <c r="D29" s="14"/>
      <c r="E29" s="14"/>
    </row>
    <row r="30" spans="1:12" x14ac:dyDescent="0.25">
      <c r="A30" s="14"/>
      <c r="B30" s="14"/>
      <c r="C30" s="14"/>
      <c r="D30" s="14"/>
      <c r="E30" s="14"/>
    </row>
    <row r="31" spans="1:12" x14ac:dyDescent="0.25">
      <c r="A31" s="14"/>
      <c r="B31" s="14"/>
      <c r="C31" s="14"/>
      <c r="D31" s="14"/>
      <c r="E31" s="14"/>
    </row>
    <row r="32" spans="1:12" x14ac:dyDescent="0.25">
      <c r="A32" s="14"/>
      <c r="B32" s="14"/>
      <c r="C32" s="14"/>
      <c r="D32" s="14"/>
      <c r="E32" s="14"/>
    </row>
    <row r="33" spans="1:5" x14ac:dyDescent="0.25">
      <c r="A33" s="14"/>
      <c r="B33" s="14"/>
      <c r="C33" s="14"/>
      <c r="D33" s="14"/>
      <c r="E33" s="14"/>
    </row>
    <row r="34" spans="1:5" x14ac:dyDescent="0.25">
      <c r="A34" s="14"/>
      <c r="B34" s="14"/>
      <c r="C34" s="14"/>
      <c r="D34" s="14"/>
      <c r="E34" s="14"/>
    </row>
    <row r="35" spans="1:5" x14ac:dyDescent="0.25">
      <c r="A35" s="14"/>
      <c r="B35" s="14"/>
      <c r="C35" s="14"/>
      <c r="D35" s="14"/>
      <c r="E35" s="14"/>
    </row>
    <row r="36" spans="1:5" x14ac:dyDescent="0.25">
      <c r="A36" s="14"/>
      <c r="B36" s="14"/>
      <c r="C36" s="14"/>
      <c r="D36" s="14"/>
      <c r="E36" s="14"/>
    </row>
    <row r="37" spans="1:5" x14ac:dyDescent="0.25">
      <c r="A37" s="14"/>
      <c r="B37" s="14"/>
      <c r="C37" s="14"/>
      <c r="D37" s="14"/>
      <c r="E37" s="14"/>
    </row>
    <row r="38" spans="1:5" x14ac:dyDescent="0.25">
      <c r="A38" s="14"/>
      <c r="B38" s="14"/>
      <c r="C38" s="14"/>
      <c r="D38" s="14"/>
      <c r="E38" s="14"/>
    </row>
    <row r="39" spans="1:5" x14ac:dyDescent="0.25">
      <c r="A39" s="14"/>
      <c r="B39" s="14"/>
      <c r="C39" s="14"/>
      <c r="D39" s="14"/>
      <c r="E39" s="14"/>
    </row>
    <row r="40" spans="1:5" x14ac:dyDescent="0.25">
      <c r="A40" s="14"/>
      <c r="B40" s="14"/>
      <c r="C40" s="14"/>
      <c r="D40" s="14"/>
      <c r="E40" s="14"/>
    </row>
    <row r="41" spans="1:5" x14ac:dyDescent="0.25">
      <c r="A41" s="14"/>
      <c r="B41" s="14"/>
      <c r="C41" s="14"/>
      <c r="D41" s="14"/>
      <c r="E41" s="14"/>
    </row>
    <row r="42" spans="1:5" x14ac:dyDescent="0.25">
      <c r="A42" s="14"/>
      <c r="B42" s="14"/>
      <c r="C42" s="14"/>
      <c r="D42" s="14"/>
      <c r="E42" s="14"/>
    </row>
    <row r="43" spans="1:5" x14ac:dyDescent="0.25">
      <c r="A43" s="14"/>
      <c r="B43" s="14"/>
      <c r="C43" s="14"/>
      <c r="D43" s="14"/>
      <c r="E43" s="14"/>
    </row>
    <row r="44" spans="1:5" x14ac:dyDescent="0.25">
      <c r="A44" s="14"/>
      <c r="B44" s="14"/>
      <c r="C44" s="14"/>
      <c r="D44" s="14"/>
      <c r="E44" s="14"/>
    </row>
    <row r="45" spans="1:5" x14ac:dyDescent="0.25">
      <c r="A45" s="14"/>
      <c r="B45" s="14"/>
      <c r="C45" s="14"/>
      <c r="D45" s="14"/>
      <c r="E45" s="14"/>
    </row>
    <row r="46" spans="1:5" x14ac:dyDescent="0.25">
      <c r="A46" s="14"/>
      <c r="B46" s="14"/>
      <c r="C46" s="14"/>
      <c r="D46" s="14"/>
      <c r="E46" s="14"/>
    </row>
    <row r="47" spans="1:5" x14ac:dyDescent="0.25">
      <c r="A47" s="14"/>
      <c r="B47" s="14"/>
      <c r="C47" s="14"/>
      <c r="D47" s="14"/>
      <c r="E47" s="14"/>
    </row>
    <row r="48" spans="1:5" x14ac:dyDescent="0.25">
      <c r="A48" s="14"/>
      <c r="B48" s="14"/>
      <c r="C48" s="14"/>
      <c r="D48" s="14"/>
      <c r="E48" s="14"/>
    </row>
    <row r="49" spans="1:5" x14ac:dyDescent="0.25">
      <c r="A49" s="14"/>
      <c r="B49" s="14"/>
      <c r="C49" s="14"/>
      <c r="D49" s="14"/>
      <c r="E49" s="14"/>
    </row>
    <row r="50" spans="1:5" x14ac:dyDescent="0.25">
      <c r="A50" s="14"/>
      <c r="B50" s="14"/>
      <c r="C50" s="14"/>
      <c r="D50" s="14"/>
      <c r="E50" s="14"/>
    </row>
    <row r="51" spans="1:5" x14ac:dyDescent="0.25">
      <c r="A51" s="14"/>
      <c r="B51" s="14"/>
      <c r="C51" s="14"/>
      <c r="D51" s="14"/>
      <c r="E51" s="14"/>
    </row>
    <row r="52" spans="1:5" x14ac:dyDescent="0.25">
      <c r="A52" s="14"/>
      <c r="B52" s="14"/>
      <c r="C52" s="14"/>
      <c r="D52" s="14"/>
      <c r="E52" s="14"/>
    </row>
    <row r="53" spans="1:5" x14ac:dyDescent="0.25">
      <c r="A53" s="14"/>
      <c r="B53" s="14"/>
      <c r="C53" s="14"/>
      <c r="D53" s="14"/>
      <c r="E53" s="14"/>
    </row>
    <row r="54" spans="1:5" x14ac:dyDescent="0.25">
      <c r="A54" s="14"/>
      <c r="B54" s="14"/>
      <c r="C54" s="14"/>
      <c r="D54" s="14"/>
      <c r="E54" s="14"/>
    </row>
    <row r="55" spans="1:5" x14ac:dyDescent="0.25">
      <c r="A55" s="14"/>
      <c r="B55" s="14"/>
      <c r="C55" s="14"/>
      <c r="D55" s="14"/>
      <c r="E55" s="14"/>
    </row>
    <row r="56" spans="1:5" x14ac:dyDescent="0.25">
      <c r="A56" s="14"/>
      <c r="B56" s="14"/>
      <c r="C56" s="14"/>
      <c r="D56" s="14"/>
      <c r="E56" s="14"/>
    </row>
    <row r="57" spans="1:5" x14ac:dyDescent="0.25">
      <c r="A57" s="14"/>
      <c r="B57" s="14"/>
      <c r="C57" s="14"/>
      <c r="D57" s="14"/>
      <c r="E57" s="14"/>
    </row>
    <row r="58" spans="1:5" x14ac:dyDescent="0.25">
      <c r="A58" s="14"/>
      <c r="B58" s="14"/>
      <c r="C58" s="14"/>
      <c r="D58" s="14"/>
      <c r="E58" s="14"/>
    </row>
    <row r="59" spans="1:5" x14ac:dyDescent="0.25">
      <c r="A59" s="14"/>
      <c r="B59" s="14"/>
      <c r="C59" s="14"/>
      <c r="D59" s="14"/>
      <c r="E59" s="14"/>
    </row>
    <row r="60" spans="1:5" x14ac:dyDescent="0.25">
      <c r="A60" s="14"/>
      <c r="B60" s="14"/>
      <c r="C60" s="14"/>
      <c r="D60" s="14"/>
      <c r="E60" s="14"/>
    </row>
    <row r="61" spans="1:5" x14ac:dyDescent="0.25">
      <c r="A61" s="14"/>
      <c r="B61" s="14"/>
      <c r="C61" s="14"/>
      <c r="D61" s="14"/>
      <c r="E61" s="14"/>
    </row>
    <row r="62" spans="1:5" x14ac:dyDescent="0.25">
      <c r="A62" s="14"/>
      <c r="B62" s="14"/>
      <c r="C62" s="14"/>
      <c r="D62" s="14"/>
      <c r="E62" s="14"/>
    </row>
    <row r="63" spans="1:5" x14ac:dyDescent="0.25">
      <c r="A63" s="14"/>
      <c r="B63" s="14"/>
      <c r="C63" s="14"/>
      <c r="D63" s="14"/>
      <c r="E63" s="14"/>
    </row>
    <row r="64" spans="1:5" x14ac:dyDescent="0.25">
      <c r="A64" s="14"/>
      <c r="B64" s="14"/>
      <c r="C64" s="14"/>
      <c r="D64" s="14"/>
      <c r="E64" s="14"/>
    </row>
    <row r="65" spans="1:5" x14ac:dyDescent="0.25">
      <c r="A65" s="14"/>
      <c r="B65" s="14"/>
      <c r="C65" s="14"/>
      <c r="D65" s="14"/>
      <c r="E65" s="14"/>
    </row>
    <row r="66" spans="1:5" x14ac:dyDescent="0.25">
      <c r="A66" s="14"/>
      <c r="B66" s="14"/>
      <c r="C66" s="14"/>
      <c r="D66" s="14"/>
      <c r="E66" s="14"/>
    </row>
    <row r="67" spans="1:5" x14ac:dyDescent="0.25">
      <c r="A67" s="14"/>
      <c r="B67" s="14"/>
      <c r="C67" s="14"/>
      <c r="D67" s="14"/>
      <c r="E67" s="14"/>
    </row>
    <row r="68" spans="1:5" x14ac:dyDescent="0.25">
      <c r="A68" s="14"/>
      <c r="B68" s="14"/>
      <c r="C68" s="14"/>
      <c r="D68" s="14"/>
      <c r="E68" s="14"/>
    </row>
    <row r="69" spans="1:5" x14ac:dyDescent="0.25">
      <c r="A69" s="14"/>
      <c r="B69" s="14"/>
      <c r="C69" s="14"/>
      <c r="D69" s="14"/>
      <c r="E69" s="14"/>
    </row>
    <row r="70" spans="1:5" x14ac:dyDescent="0.25">
      <c r="A70" s="14"/>
      <c r="B70" s="14"/>
      <c r="C70" s="14"/>
      <c r="D70" s="14"/>
      <c r="E70" s="14"/>
    </row>
    <row r="71" spans="1:5" x14ac:dyDescent="0.25">
      <c r="A71" s="14"/>
      <c r="B71" s="14"/>
      <c r="C71" s="14"/>
      <c r="D71" s="14"/>
      <c r="E71" s="14"/>
    </row>
    <row r="72" spans="1:5" x14ac:dyDescent="0.25">
      <c r="A72" s="14"/>
      <c r="B72" s="14"/>
      <c r="C72" s="14"/>
      <c r="D72" s="14"/>
      <c r="E72" s="14"/>
    </row>
    <row r="73" spans="1:5" x14ac:dyDescent="0.25">
      <c r="A73" s="14"/>
      <c r="B73" s="14"/>
      <c r="C73" s="14"/>
      <c r="D73" s="14"/>
      <c r="E73" s="14"/>
    </row>
    <row r="74" spans="1:5" x14ac:dyDescent="0.25">
      <c r="A74" s="14"/>
      <c r="B74" s="14"/>
      <c r="C74" s="14"/>
      <c r="D74" s="14"/>
      <c r="E74" s="14"/>
    </row>
    <row r="75" spans="1:5" x14ac:dyDescent="0.25">
      <c r="A75" s="14"/>
      <c r="B75" s="14"/>
      <c r="C75" s="14"/>
      <c r="D75" s="14"/>
      <c r="E75" s="14"/>
    </row>
    <row r="76" spans="1:5" x14ac:dyDescent="0.25">
      <c r="A76" s="14"/>
      <c r="B76" s="14"/>
      <c r="C76" s="14"/>
      <c r="D76" s="14"/>
      <c r="E76" s="14"/>
    </row>
    <row r="77" spans="1:5" x14ac:dyDescent="0.25">
      <c r="A77" s="14"/>
      <c r="B77" s="14"/>
      <c r="C77" s="14"/>
      <c r="D77" s="14"/>
      <c r="E77" s="14"/>
    </row>
    <row r="78" spans="1:5" x14ac:dyDescent="0.25">
      <c r="A78" s="14"/>
      <c r="B78" s="14"/>
      <c r="C78" s="14"/>
      <c r="D78" s="14"/>
      <c r="E78" s="14"/>
    </row>
    <row r="79" spans="1:5" x14ac:dyDescent="0.25">
      <c r="A79" s="14"/>
      <c r="B79" s="14"/>
      <c r="C79" s="14"/>
      <c r="D79" s="14"/>
      <c r="E79" s="14"/>
    </row>
    <row r="80" spans="1:5" x14ac:dyDescent="0.25">
      <c r="A80" s="14"/>
      <c r="B80" s="14"/>
      <c r="C80" s="14"/>
      <c r="D80" s="14"/>
      <c r="E80" s="14"/>
    </row>
    <row r="81" spans="1:5" x14ac:dyDescent="0.25">
      <c r="A81" s="14"/>
      <c r="B81" s="14"/>
      <c r="C81" s="14"/>
      <c r="D81" s="14"/>
      <c r="E81" s="14"/>
    </row>
    <row r="82" spans="1:5" x14ac:dyDescent="0.25">
      <c r="A82" s="14"/>
      <c r="B82" s="14"/>
      <c r="C82" s="14"/>
      <c r="D82" s="14"/>
      <c r="E82" s="14"/>
    </row>
    <row r="83" spans="1:5" x14ac:dyDescent="0.25">
      <c r="A83" s="14"/>
      <c r="B83" s="14"/>
      <c r="C83" s="14"/>
      <c r="D83" s="14"/>
      <c r="E83" s="14"/>
    </row>
    <row r="84" spans="1:5" x14ac:dyDescent="0.25">
      <c r="A84" s="14"/>
      <c r="B84" s="14"/>
      <c r="C84" s="14"/>
      <c r="D84" s="14"/>
      <c r="E84" s="14"/>
    </row>
    <row r="85" spans="1:5" x14ac:dyDescent="0.25">
      <c r="A85" s="14"/>
      <c r="B85" s="14"/>
      <c r="C85" s="14"/>
      <c r="D85" s="14"/>
      <c r="E85" s="14"/>
    </row>
    <row r="86" spans="1:5" x14ac:dyDescent="0.25">
      <c r="A86" s="14"/>
      <c r="B86" s="14"/>
      <c r="C86" s="14"/>
      <c r="D86" s="14"/>
      <c r="E86" s="14"/>
    </row>
    <row r="87" spans="1:5" x14ac:dyDescent="0.25">
      <c r="A87" s="14"/>
      <c r="B87" s="14"/>
      <c r="C87" s="14"/>
      <c r="D87" s="14"/>
      <c r="E87" s="14"/>
    </row>
    <row r="88" spans="1:5" x14ac:dyDescent="0.25">
      <c r="A88" s="14"/>
      <c r="B88" s="14"/>
      <c r="C88" s="14"/>
      <c r="D88" s="14"/>
      <c r="E88" s="14"/>
    </row>
    <row r="89" spans="1:5" x14ac:dyDescent="0.25">
      <c r="A89" s="14"/>
      <c r="B89" s="14"/>
      <c r="C89" s="14"/>
      <c r="D89" s="14"/>
      <c r="E89" s="14"/>
    </row>
    <row r="90" spans="1:5" x14ac:dyDescent="0.25">
      <c r="A90" s="14"/>
      <c r="B90" s="14"/>
      <c r="C90" s="14"/>
      <c r="D90" s="14"/>
      <c r="E90" s="14"/>
    </row>
    <row r="91" spans="1:5" x14ac:dyDescent="0.25">
      <c r="A91" s="14"/>
      <c r="B91" s="14"/>
      <c r="C91" s="14"/>
      <c r="D91" s="14"/>
      <c r="E91" s="14"/>
    </row>
    <row r="92" spans="1:5" x14ac:dyDescent="0.25">
      <c r="A92" s="42"/>
      <c r="B92" s="42"/>
      <c r="C92" s="42"/>
      <c r="D92" s="42"/>
      <c r="E92" s="42"/>
    </row>
    <row r="95" spans="1:5" ht="21" x14ac:dyDescent="0.25">
      <c r="A95" s="68" t="s">
        <v>273</v>
      </c>
      <c r="B95" s="68"/>
      <c r="C95" s="68"/>
      <c r="D95" s="68"/>
      <c r="E95" s="68"/>
    </row>
    <row r="96" spans="1:5" ht="21" x14ac:dyDescent="0.25">
      <c r="A96" s="68"/>
      <c r="B96" s="68"/>
      <c r="C96" s="68"/>
      <c r="D96" s="68"/>
      <c r="E96" s="68"/>
    </row>
    <row r="97" spans="5:8" x14ac:dyDescent="0.25">
      <c r="E97" s="12"/>
    </row>
    <row r="98" spans="5:8" x14ac:dyDescent="0.25">
      <c r="E98" s="12"/>
    </row>
    <row r="99" spans="5:8" x14ac:dyDescent="0.25">
      <c r="E99" s="12"/>
    </row>
    <row r="100" spans="5:8" x14ac:dyDescent="0.25">
      <c r="E100" s="12"/>
    </row>
    <row r="101" spans="5:8" x14ac:dyDescent="0.25">
      <c r="E101" s="12"/>
    </row>
    <row r="102" spans="5:8" x14ac:dyDescent="0.25">
      <c r="E102" s="12"/>
    </row>
    <row r="103" spans="5:8" ht="21" x14ac:dyDescent="0.25">
      <c r="E103" s="12"/>
      <c r="F103" s="68"/>
      <c r="G103" s="68"/>
      <c r="H103" s="68"/>
    </row>
    <row r="104" spans="5:8" ht="21" x14ac:dyDescent="0.25">
      <c r="E104" s="12"/>
      <c r="F104" s="68"/>
      <c r="G104" s="68"/>
      <c r="H104" s="68"/>
    </row>
    <row r="105" spans="5:8" x14ac:dyDescent="0.25">
      <c r="E105" s="12"/>
    </row>
    <row r="106" spans="5:8" x14ac:dyDescent="0.25">
      <c r="E106" s="12"/>
    </row>
    <row r="107" spans="5:8" x14ac:dyDescent="0.25">
      <c r="E107" s="12"/>
    </row>
    <row r="108" spans="5:8" x14ac:dyDescent="0.25">
      <c r="E108" s="12"/>
    </row>
    <row r="109" spans="5:8" x14ac:dyDescent="0.25">
      <c r="E109" s="12"/>
    </row>
    <row r="110" spans="5:8" x14ac:dyDescent="0.25">
      <c r="E110" s="12"/>
    </row>
    <row r="111" spans="5:8" x14ac:dyDescent="0.25">
      <c r="E111" s="12"/>
    </row>
    <row r="112" spans="5:8" x14ac:dyDescent="0.25">
      <c r="E112" s="12"/>
    </row>
    <row r="113" spans="5:5" x14ac:dyDescent="0.25">
      <c r="E113" s="12"/>
    </row>
    <row r="114" spans="5:5" x14ac:dyDescent="0.25">
      <c r="E114" s="12"/>
    </row>
    <row r="115" spans="5:5" x14ac:dyDescent="0.25">
      <c r="E115" s="12"/>
    </row>
    <row r="116" spans="5:5" x14ac:dyDescent="0.25">
      <c r="E116" s="12"/>
    </row>
    <row r="117" spans="5:5" x14ac:dyDescent="0.25">
      <c r="E117" s="12"/>
    </row>
    <row r="118" spans="5:5" x14ac:dyDescent="0.25">
      <c r="E118" s="12"/>
    </row>
    <row r="119" spans="5:5" x14ac:dyDescent="0.25">
      <c r="E119" s="12"/>
    </row>
    <row r="120" spans="5:5" x14ac:dyDescent="0.25">
      <c r="E120" s="12"/>
    </row>
    <row r="121" spans="5:5" x14ac:dyDescent="0.25">
      <c r="E121" s="12"/>
    </row>
    <row r="122" spans="5:5" x14ac:dyDescent="0.25">
      <c r="E122" s="12"/>
    </row>
    <row r="123" spans="5:5" x14ac:dyDescent="0.25">
      <c r="E123" s="12"/>
    </row>
    <row r="124" spans="5:5" x14ac:dyDescent="0.25">
      <c r="E124" s="12"/>
    </row>
    <row r="125" spans="5:5" x14ac:dyDescent="0.25">
      <c r="E125" s="12"/>
    </row>
    <row r="126" spans="5:5" x14ac:dyDescent="0.25">
      <c r="E126" s="12"/>
    </row>
    <row r="127" spans="5:5" x14ac:dyDescent="0.25">
      <c r="E127" s="12"/>
    </row>
    <row r="128" spans="5:5" x14ac:dyDescent="0.25">
      <c r="E128" s="12"/>
    </row>
    <row r="129" spans="5:5" x14ac:dyDescent="0.25">
      <c r="E129" s="12"/>
    </row>
    <row r="130" spans="5:5" x14ac:dyDescent="0.25">
      <c r="E130" s="12"/>
    </row>
    <row r="131" spans="5:5" x14ac:dyDescent="0.25">
      <c r="E131" s="12"/>
    </row>
    <row r="132" spans="5:5" x14ac:dyDescent="0.25">
      <c r="E132" s="12"/>
    </row>
    <row r="133" spans="5:5" x14ac:dyDescent="0.25">
      <c r="E133" s="12"/>
    </row>
    <row r="134" spans="5:5" x14ac:dyDescent="0.25">
      <c r="E134" s="12"/>
    </row>
    <row r="135" spans="5:5" x14ac:dyDescent="0.25">
      <c r="E135" s="12"/>
    </row>
    <row r="136" spans="5:5" x14ac:dyDescent="0.25">
      <c r="E136" s="12"/>
    </row>
    <row r="137" spans="5:5" x14ac:dyDescent="0.25">
      <c r="E137" s="12"/>
    </row>
    <row r="138" spans="5:5" x14ac:dyDescent="0.25">
      <c r="E138" s="12"/>
    </row>
    <row r="139" spans="5:5" x14ac:dyDescent="0.25">
      <c r="E139" s="12"/>
    </row>
    <row r="140" spans="5:5" x14ac:dyDescent="0.25">
      <c r="E140" s="12"/>
    </row>
    <row r="141" spans="5:5" x14ac:dyDescent="0.25">
      <c r="E141" s="12"/>
    </row>
    <row r="142" spans="5:5" x14ac:dyDescent="0.25">
      <c r="E142" s="12"/>
    </row>
    <row r="143" spans="5:5" x14ac:dyDescent="0.25">
      <c r="E143" s="12"/>
    </row>
    <row r="144" spans="5:5" x14ac:dyDescent="0.25">
      <c r="E144" s="12"/>
    </row>
    <row r="145" spans="5:5" x14ac:dyDescent="0.25">
      <c r="E145" s="12"/>
    </row>
    <row r="146" spans="5:5" x14ac:dyDescent="0.25">
      <c r="E146" s="12"/>
    </row>
    <row r="147" spans="5:5" x14ac:dyDescent="0.25">
      <c r="E147" s="12"/>
    </row>
    <row r="148" spans="5:5" x14ac:dyDescent="0.25">
      <c r="E148" s="12"/>
    </row>
    <row r="149" spans="5:5" x14ac:dyDescent="0.25">
      <c r="E149" s="12"/>
    </row>
    <row r="150" spans="5:5" x14ac:dyDescent="0.25">
      <c r="E150" s="12"/>
    </row>
    <row r="151" spans="5:5" x14ac:dyDescent="0.25">
      <c r="E151" s="12"/>
    </row>
    <row r="152" spans="5:5" x14ac:dyDescent="0.25">
      <c r="E152" s="12"/>
    </row>
    <row r="153" spans="5:5" x14ac:dyDescent="0.25">
      <c r="E153" s="12"/>
    </row>
    <row r="154" spans="5:5" x14ac:dyDescent="0.25">
      <c r="E154" s="12"/>
    </row>
    <row r="155" spans="5:5" x14ac:dyDescent="0.25">
      <c r="E155" s="12"/>
    </row>
    <row r="156" spans="5:5" x14ac:dyDescent="0.25">
      <c r="E156" s="12"/>
    </row>
    <row r="157" spans="5:5" x14ac:dyDescent="0.25">
      <c r="E157" s="12"/>
    </row>
    <row r="158" spans="5:5" x14ac:dyDescent="0.25">
      <c r="E158" s="12"/>
    </row>
    <row r="159" spans="5:5" x14ac:dyDescent="0.25">
      <c r="E159" s="12"/>
    </row>
    <row r="160" spans="5:5" x14ac:dyDescent="0.25">
      <c r="E160" s="12"/>
    </row>
    <row r="161" spans="5:5" x14ac:dyDescent="0.25">
      <c r="E161" s="12"/>
    </row>
    <row r="162" spans="5:5" x14ac:dyDescent="0.25">
      <c r="E162" s="12"/>
    </row>
    <row r="163" spans="5:5" x14ac:dyDescent="0.25">
      <c r="E163" s="12"/>
    </row>
    <row r="164" spans="5:5" x14ac:dyDescent="0.25">
      <c r="E164" s="12"/>
    </row>
    <row r="165" spans="5:5" x14ac:dyDescent="0.25">
      <c r="E165" s="12"/>
    </row>
    <row r="166" spans="5:5" x14ac:dyDescent="0.25">
      <c r="E166" s="12"/>
    </row>
    <row r="167" spans="5:5" x14ac:dyDescent="0.25">
      <c r="E167" s="12"/>
    </row>
    <row r="168" spans="5:5" x14ac:dyDescent="0.25">
      <c r="E168" s="12"/>
    </row>
    <row r="169" spans="5:5" x14ac:dyDescent="0.25">
      <c r="E169" s="12"/>
    </row>
    <row r="170" spans="5:5" x14ac:dyDescent="0.25">
      <c r="E170" s="12"/>
    </row>
    <row r="171" spans="5:5" x14ac:dyDescent="0.25">
      <c r="E171" s="12"/>
    </row>
    <row r="172" spans="5:5" x14ac:dyDescent="0.25">
      <c r="E172" s="12"/>
    </row>
    <row r="173" spans="5:5" x14ac:dyDescent="0.25">
      <c r="E173" s="12"/>
    </row>
    <row r="174" spans="5:5" x14ac:dyDescent="0.25">
      <c r="E174" s="12"/>
    </row>
    <row r="175" spans="5:5" x14ac:dyDescent="0.25">
      <c r="E175" s="12"/>
    </row>
    <row r="176" spans="5:5" x14ac:dyDescent="0.25">
      <c r="E176" s="12"/>
    </row>
    <row r="177" spans="5:5" x14ac:dyDescent="0.25">
      <c r="E177" s="12"/>
    </row>
    <row r="178" spans="5:5" x14ac:dyDescent="0.25">
      <c r="E178" s="12"/>
    </row>
    <row r="179" spans="5:5" x14ac:dyDescent="0.25">
      <c r="E179" s="12"/>
    </row>
    <row r="180" spans="5:5" x14ac:dyDescent="0.25">
      <c r="E180" s="12"/>
    </row>
    <row r="181" spans="5:5" x14ac:dyDescent="0.25">
      <c r="E181" s="12"/>
    </row>
    <row r="182" spans="5:5" x14ac:dyDescent="0.25">
      <c r="E182" s="12"/>
    </row>
    <row r="183" spans="5:5" x14ac:dyDescent="0.25">
      <c r="E183" s="12"/>
    </row>
    <row r="184" spans="5:5" x14ac:dyDescent="0.25">
      <c r="E184" s="12"/>
    </row>
    <row r="185" spans="5:5" x14ac:dyDescent="0.25">
      <c r="E185" s="12"/>
    </row>
    <row r="186" spans="5:5" x14ac:dyDescent="0.25">
      <c r="E186" s="12"/>
    </row>
    <row r="187" spans="5:5" x14ac:dyDescent="0.25">
      <c r="E187" s="12"/>
    </row>
    <row r="188" spans="5:5" x14ac:dyDescent="0.25">
      <c r="E188" s="12"/>
    </row>
    <row r="189" spans="5:5" x14ac:dyDescent="0.25">
      <c r="E189" s="12"/>
    </row>
    <row r="190" spans="5:5" x14ac:dyDescent="0.25">
      <c r="E190" s="12"/>
    </row>
    <row r="191" spans="5:5" x14ac:dyDescent="0.25">
      <c r="E191" s="12"/>
    </row>
    <row r="192" spans="5:5" x14ac:dyDescent="0.25">
      <c r="E192" s="12"/>
    </row>
    <row r="193" spans="5:5" x14ac:dyDescent="0.25">
      <c r="E193" s="12"/>
    </row>
    <row r="194" spans="5:5" x14ac:dyDescent="0.25">
      <c r="E194" s="12"/>
    </row>
    <row r="195" spans="5:5" x14ac:dyDescent="0.25">
      <c r="E195" s="12"/>
    </row>
    <row r="196" spans="5:5" x14ac:dyDescent="0.25">
      <c r="E196" s="12"/>
    </row>
    <row r="197" spans="5:5" x14ac:dyDescent="0.25">
      <c r="E197" s="12"/>
    </row>
    <row r="198" spans="5:5" x14ac:dyDescent="0.25">
      <c r="E198" s="12"/>
    </row>
    <row r="199" spans="5:5" x14ac:dyDescent="0.25">
      <c r="E199" s="12"/>
    </row>
    <row r="200" spans="5:5" x14ac:dyDescent="0.25">
      <c r="E200" s="12"/>
    </row>
    <row r="201" spans="5:5" x14ac:dyDescent="0.25">
      <c r="E201" s="12"/>
    </row>
    <row r="202" spans="5:5" x14ac:dyDescent="0.25">
      <c r="E202" s="12"/>
    </row>
    <row r="203" spans="5:5" x14ac:dyDescent="0.25">
      <c r="E203" s="12"/>
    </row>
    <row r="204" spans="5:5" x14ac:dyDescent="0.25">
      <c r="E204" s="12"/>
    </row>
    <row r="205" spans="5:5" x14ac:dyDescent="0.25">
      <c r="E205" s="12"/>
    </row>
    <row r="206" spans="5:5" x14ac:dyDescent="0.25">
      <c r="E206" s="12"/>
    </row>
    <row r="207" spans="5:5" x14ac:dyDescent="0.25">
      <c r="E207" s="12"/>
    </row>
    <row r="208" spans="5:5" x14ac:dyDescent="0.25">
      <c r="E208" s="12"/>
    </row>
    <row r="209" spans="5:5" x14ac:dyDescent="0.25">
      <c r="E209" s="12"/>
    </row>
    <row r="210" spans="5:5" x14ac:dyDescent="0.25">
      <c r="E210" s="12"/>
    </row>
    <row r="211" spans="5:5" x14ac:dyDescent="0.25">
      <c r="E211" s="12"/>
    </row>
    <row r="212" spans="5:5" x14ac:dyDescent="0.25">
      <c r="E212" s="12"/>
    </row>
    <row r="213" spans="5:5" x14ac:dyDescent="0.25">
      <c r="E213" s="12"/>
    </row>
    <row r="214" spans="5:5" x14ac:dyDescent="0.25">
      <c r="E214" s="12"/>
    </row>
    <row r="215" spans="5:5" x14ac:dyDescent="0.25">
      <c r="E215" s="12"/>
    </row>
    <row r="216" spans="5:5" x14ac:dyDescent="0.25">
      <c r="E216" s="12"/>
    </row>
    <row r="217" spans="5:5" x14ac:dyDescent="0.25">
      <c r="E217" s="12"/>
    </row>
    <row r="218" spans="5:5" x14ac:dyDescent="0.25">
      <c r="E218" s="12"/>
    </row>
    <row r="219" spans="5:5" x14ac:dyDescent="0.25">
      <c r="E219" s="12"/>
    </row>
    <row r="220" spans="5:5" x14ac:dyDescent="0.25">
      <c r="E220" s="12"/>
    </row>
    <row r="221" spans="5:5" x14ac:dyDescent="0.25">
      <c r="E221" s="12"/>
    </row>
    <row r="222" spans="5:5" x14ac:dyDescent="0.25">
      <c r="E222" s="12"/>
    </row>
    <row r="223" spans="5:5" x14ac:dyDescent="0.25">
      <c r="E223" s="12"/>
    </row>
    <row r="224" spans="5:5" x14ac:dyDescent="0.25">
      <c r="E224" s="12"/>
    </row>
    <row r="225" spans="5:5" x14ac:dyDescent="0.25">
      <c r="E225" s="12"/>
    </row>
    <row r="226" spans="5:5" x14ac:dyDescent="0.25">
      <c r="E226" s="12"/>
    </row>
    <row r="227" spans="5:5" x14ac:dyDescent="0.25">
      <c r="E227" s="12"/>
    </row>
    <row r="228" spans="5:5" x14ac:dyDescent="0.25">
      <c r="E228" s="12"/>
    </row>
    <row r="229" spans="5:5" x14ac:dyDescent="0.25">
      <c r="E229" s="12"/>
    </row>
    <row r="230" spans="5:5" x14ac:dyDescent="0.25">
      <c r="E230" s="12"/>
    </row>
    <row r="231" spans="5:5" x14ac:dyDescent="0.25">
      <c r="E231" s="12"/>
    </row>
    <row r="232" spans="5:5" x14ac:dyDescent="0.25">
      <c r="E232" s="12"/>
    </row>
    <row r="233" spans="5:5" x14ac:dyDescent="0.25">
      <c r="E233" s="12"/>
    </row>
    <row r="234" spans="5:5" x14ac:dyDescent="0.25">
      <c r="E234" s="12"/>
    </row>
    <row r="235" spans="5:5" x14ac:dyDescent="0.25">
      <c r="E235" s="12"/>
    </row>
    <row r="236" spans="5:5" x14ac:dyDescent="0.25">
      <c r="E236" s="12"/>
    </row>
    <row r="237" spans="5:5" x14ac:dyDescent="0.25">
      <c r="E237" s="12"/>
    </row>
    <row r="238" spans="5:5" x14ac:dyDescent="0.25">
      <c r="E238" s="12"/>
    </row>
    <row r="239" spans="5:5" x14ac:dyDescent="0.25">
      <c r="E239" s="12"/>
    </row>
    <row r="240" spans="5:5" x14ac:dyDescent="0.25">
      <c r="E240" s="12"/>
    </row>
    <row r="241" spans="5:5" x14ac:dyDescent="0.25">
      <c r="E241" s="12"/>
    </row>
    <row r="242" spans="5:5" x14ac:dyDescent="0.25">
      <c r="E242" s="12"/>
    </row>
    <row r="243" spans="5:5" x14ac:dyDescent="0.25">
      <c r="E243" s="12"/>
    </row>
    <row r="244" spans="5:5" x14ac:dyDescent="0.25">
      <c r="E244" s="12"/>
    </row>
    <row r="245" spans="5:5" x14ac:dyDescent="0.25">
      <c r="E245" s="12"/>
    </row>
    <row r="246" spans="5:5" x14ac:dyDescent="0.25">
      <c r="E246" s="12"/>
    </row>
    <row r="247" spans="5:5" x14ac:dyDescent="0.25">
      <c r="E247" s="12"/>
    </row>
    <row r="248" spans="5:5" x14ac:dyDescent="0.25">
      <c r="E248" s="12"/>
    </row>
    <row r="249" spans="5:5" x14ac:dyDescent="0.25">
      <c r="E249" s="12"/>
    </row>
    <row r="250" spans="5:5" x14ac:dyDescent="0.25">
      <c r="E250" s="12"/>
    </row>
    <row r="251" spans="5:5" x14ac:dyDescent="0.25">
      <c r="E251" s="12"/>
    </row>
    <row r="252" spans="5:5" x14ac:dyDescent="0.25">
      <c r="E252" s="12"/>
    </row>
    <row r="253" spans="5:5" x14ac:dyDescent="0.25">
      <c r="E253" s="12"/>
    </row>
    <row r="254" spans="5:5" x14ac:dyDescent="0.25">
      <c r="E254" s="12"/>
    </row>
    <row r="255" spans="5:5" x14ac:dyDescent="0.25">
      <c r="E255" s="12"/>
    </row>
    <row r="256" spans="5:5" x14ac:dyDescent="0.25">
      <c r="E256" s="12"/>
    </row>
    <row r="257" spans="5:5" x14ac:dyDescent="0.25">
      <c r="E257" s="12"/>
    </row>
    <row r="258" spans="5:5" x14ac:dyDescent="0.25">
      <c r="E258" s="12"/>
    </row>
    <row r="259" spans="5:5" x14ac:dyDescent="0.25">
      <c r="E259" s="12"/>
    </row>
    <row r="260" spans="5:5" x14ac:dyDescent="0.25">
      <c r="E260" s="12"/>
    </row>
    <row r="261" spans="5:5" x14ac:dyDescent="0.25">
      <c r="E261" s="12"/>
    </row>
    <row r="262" spans="5:5" x14ac:dyDescent="0.25">
      <c r="E262" s="12"/>
    </row>
    <row r="263" spans="5:5" x14ac:dyDescent="0.25">
      <c r="E263" s="12"/>
    </row>
    <row r="264" spans="5:5" x14ac:dyDescent="0.25">
      <c r="E264" s="12"/>
    </row>
    <row r="265" spans="5:5" x14ac:dyDescent="0.25">
      <c r="E265" s="12"/>
    </row>
    <row r="266" spans="5:5" x14ac:dyDescent="0.25">
      <c r="E266" s="12"/>
    </row>
    <row r="267" spans="5:5" x14ac:dyDescent="0.25">
      <c r="E267" s="12"/>
    </row>
    <row r="268" spans="5:5" x14ac:dyDescent="0.25">
      <c r="E268" s="12"/>
    </row>
    <row r="269" spans="5:5" x14ac:dyDescent="0.25">
      <c r="E269" s="12"/>
    </row>
    <row r="270" spans="5:5" x14ac:dyDescent="0.25">
      <c r="E270" s="12"/>
    </row>
    <row r="271" spans="5:5" x14ac:dyDescent="0.25">
      <c r="E271" s="12"/>
    </row>
    <row r="272" spans="5:5" x14ac:dyDescent="0.25">
      <c r="E272" s="12"/>
    </row>
    <row r="273" spans="5:5" x14ac:dyDescent="0.25">
      <c r="E273" s="12"/>
    </row>
    <row r="274" spans="5:5" x14ac:dyDescent="0.25">
      <c r="E274" s="12"/>
    </row>
    <row r="275" spans="5:5" x14ac:dyDescent="0.25">
      <c r="E275" s="12"/>
    </row>
    <row r="276" spans="5:5" x14ac:dyDescent="0.25">
      <c r="E276" s="12"/>
    </row>
    <row r="277" spans="5:5" x14ac:dyDescent="0.25">
      <c r="E277" s="12"/>
    </row>
    <row r="278" spans="5:5" x14ac:dyDescent="0.25">
      <c r="E278" s="12"/>
    </row>
    <row r="279" spans="5:5" x14ac:dyDescent="0.25">
      <c r="E279" s="12"/>
    </row>
    <row r="280" spans="5:5" x14ac:dyDescent="0.25">
      <c r="E280" s="12"/>
    </row>
    <row r="281" spans="5:5" x14ac:dyDescent="0.25">
      <c r="E281" s="12"/>
    </row>
    <row r="282" spans="5:5" x14ac:dyDescent="0.25">
      <c r="E282" s="12"/>
    </row>
    <row r="283" spans="5:5" x14ac:dyDescent="0.25">
      <c r="E283" s="12"/>
    </row>
    <row r="284" spans="5:5" x14ac:dyDescent="0.25">
      <c r="E284" s="12"/>
    </row>
  </sheetData>
  <mergeCells count="2">
    <mergeCell ref="A2:E2"/>
    <mergeCell ref="A3:E3"/>
  </mergeCells>
  <dataValidations count="1">
    <dataValidation type="list" allowBlank="1" showInputMessage="1" showErrorMessage="1" sqref="E97:E284" xr:uid="{00000000-0002-0000-0500-000000000000}">
      <formula1>$F$11:$F$14</formula1>
    </dataValidation>
  </dataValidations>
  <pageMargins left="0.7" right="0.7" top="0.75" bottom="0.75" header="0.3" footer="0.3"/>
  <pageSetup paperSize="9" scale="96" orientation="portrait" r:id="rId1"/>
  <rowBreaks count="1" manualBreakCount="1">
    <brk id="44" max="16383" man="1"/>
  </rowBreak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1000000}">
          <x14:formula1>
            <xm:f>'Р 1. "Общие сведения"'!$I$7:$I$179</xm:f>
          </x14:formula1>
          <xm:sqref>A6:A92</xm:sqref>
        </x14:dataValidation>
        <x14:dataValidation type="list" allowBlank="1" showInputMessage="1" showErrorMessage="1" xr:uid="{00000000-0002-0000-0500-000002000000}">
          <x14:formula1>
            <xm:f>Справочники!$F$11:$F$13</xm:f>
          </x14:formula1>
          <xm:sqref>E14:E92</xm:sqref>
        </x14:dataValidation>
        <x14:dataValidation type="list" allowBlank="1" showInputMessage="1" showErrorMessage="1" xr:uid="{00000000-0002-0000-0500-000003000000}">
          <x14:formula1>
            <xm:f>Справочники!#REF!</xm:f>
          </x14:formula1>
          <xm:sqref>E6:E13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8"/>
  <dimension ref="A1:J107"/>
  <sheetViews>
    <sheetView workbookViewId="0">
      <selection activeCell="C38" sqref="C38"/>
    </sheetView>
  </sheetViews>
  <sheetFormatPr defaultRowHeight="15" x14ac:dyDescent="0.25"/>
  <cols>
    <col min="1" max="1" width="45.140625" style="14" customWidth="1"/>
    <col min="2" max="2" width="55.140625" style="14" customWidth="1"/>
    <col min="3" max="3" width="24.7109375" style="14" customWidth="1"/>
    <col min="4" max="4" width="12.140625" style="14" customWidth="1"/>
    <col min="5" max="8" width="11.85546875" style="14" customWidth="1"/>
    <col min="9" max="9" width="20" style="14" customWidth="1"/>
    <col min="10" max="10" width="13.140625" style="14" customWidth="1"/>
    <col min="11" max="16384" width="9.140625" style="14"/>
  </cols>
  <sheetData>
    <row r="1" spans="1:10" ht="15.75" x14ac:dyDescent="0.25">
      <c r="A1" s="100"/>
      <c r="B1" s="100"/>
      <c r="C1" s="100"/>
      <c r="D1" s="100"/>
      <c r="E1" s="100"/>
      <c r="F1" s="100"/>
      <c r="G1" s="100"/>
      <c r="H1" s="100"/>
      <c r="I1" s="100"/>
      <c r="J1" s="100"/>
    </row>
    <row r="2" spans="1:10" ht="15.75" x14ac:dyDescent="0.25">
      <c r="A2" s="204" t="s">
        <v>182</v>
      </c>
      <c r="B2" s="204"/>
      <c r="C2" s="204"/>
      <c r="D2" s="204"/>
      <c r="E2" s="204"/>
      <c r="F2" s="204"/>
      <c r="G2" s="204"/>
      <c r="H2" s="204"/>
      <c r="I2" s="204"/>
      <c r="J2" s="204"/>
    </row>
    <row r="3" spans="1:10" ht="15.75" x14ac:dyDescent="0.25">
      <c r="A3" s="205" t="s">
        <v>183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16.5" thickBot="1" x14ac:dyDescent="0.3">
      <c r="A4" s="100"/>
      <c r="B4" s="100"/>
      <c r="C4" s="100"/>
      <c r="D4" s="100"/>
      <c r="E4" s="100"/>
      <c r="F4" s="100"/>
      <c r="G4" s="100"/>
      <c r="H4" s="100"/>
      <c r="I4" s="100"/>
      <c r="J4" s="100"/>
    </row>
    <row r="5" spans="1:10" ht="15" customHeight="1" x14ac:dyDescent="0.25">
      <c r="A5" s="202" t="s">
        <v>283</v>
      </c>
      <c r="B5" s="200" t="s">
        <v>288</v>
      </c>
      <c r="C5" s="213" t="s">
        <v>85</v>
      </c>
      <c r="D5" s="215"/>
      <c r="E5" s="215"/>
      <c r="F5" s="215"/>
      <c r="G5" s="215"/>
      <c r="H5" s="216"/>
      <c r="I5" s="213" t="s">
        <v>90</v>
      </c>
      <c r="J5" s="214"/>
    </row>
    <row r="6" spans="1:10" ht="30" customHeight="1" x14ac:dyDescent="0.25">
      <c r="A6" s="203"/>
      <c r="B6" s="201"/>
      <c r="C6" s="206" t="s">
        <v>86</v>
      </c>
      <c r="D6" s="206" t="s">
        <v>87</v>
      </c>
      <c r="E6" s="206" t="s">
        <v>88</v>
      </c>
      <c r="F6" s="208" t="s">
        <v>89</v>
      </c>
      <c r="G6" s="209"/>
      <c r="H6" s="210"/>
      <c r="I6" s="206" t="s">
        <v>91</v>
      </c>
      <c r="J6" s="211" t="s">
        <v>89</v>
      </c>
    </row>
    <row r="7" spans="1:10" ht="63" x14ac:dyDescent="0.25">
      <c r="A7" s="203"/>
      <c r="B7" s="201"/>
      <c r="C7" s="207"/>
      <c r="D7" s="207"/>
      <c r="E7" s="207"/>
      <c r="F7" s="101" t="s">
        <v>94</v>
      </c>
      <c r="G7" s="101" t="s">
        <v>95</v>
      </c>
      <c r="H7" s="101" t="s">
        <v>96</v>
      </c>
      <c r="I7" s="207"/>
      <c r="J7" s="212"/>
    </row>
    <row r="8" spans="1:10" ht="15.75" hidden="1" x14ac:dyDescent="0.25">
      <c r="A8" s="102" t="s">
        <v>275</v>
      </c>
      <c r="B8" s="100" t="s">
        <v>276</v>
      </c>
      <c r="C8" s="100" t="s">
        <v>277</v>
      </c>
      <c r="D8" s="100" t="s">
        <v>278</v>
      </c>
      <c r="E8" s="88" t="s">
        <v>279</v>
      </c>
      <c r="F8" s="88" t="s">
        <v>280</v>
      </c>
      <c r="G8" s="88" t="s">
        <v>281</v>
      </c>
      <c r="H8" s="88" t="s">
        <v>285</v>
      </c>
      <c r="I8" s="100" t="s">
        <v>286</v>
      </c>
      <c r="J8" s="103" t="s">
        <v>287</v>
      </c>
    </row>
    <row r="9" spans="1:10" ht="15.75" x14ac:dyDescent="0.25">
      <c r="A9" s="102"/>
      <c r="B9" s="100"/>
      <c r="C9" s="100"/>
      <c r="D9" s="100"/>
      <c r="E9" s="88"/>
      <c r="F9" s="88"/>
      <c r="G9" s="88"/>
      <c r="H9" s="88"/>
      <c r="I9" s="100"/>
      <c r="J9" s="103"/>
    </row>
    <row r="10" spans="1:10" ht="15.75" x14ac:dyDescent="0.25">
      <c r="A10" s="102"/>
      <c r="B10" s="100"/>
      <c r="C10" s="100"/>
      <c r="D10" s="100"/>
      <c r="E10" s="88"/>
      <c r="F10" s="88"/>
      <c r="G10" s="88"/>
      <c r="H10" s="88"/>
      <c r="I10" s="100"/>
      <c r="J10" s="103"/>
    </row>
    <row r="11" spans="1:10" x14ac:dyDescent="0.25">
      <c r="A11" s="31"/>
      <c r="B11" s="22"/>
      <c r="E11" s="11"/>
      <c r="F11" s="11"/>
      <c r="G11" s="11"/>
      <c r="H11" s="11"/>
      <c r="J11" s="32"/>
    </row>
    <row r="12" spans="1:10" x14ac:dyDescent="0.25">
      <c r="A12" s="31"/>
      <c r="B12" s="22"/>
      <c r="E12" s="11"/>
      <c r="F12" s="11"/>
      <c r="G12" s="11"/>
      <c r="H12" s="11"/>
      <c r="J12" s="32"/>
    </row>
    <row r="13" spans="1:10" x14ac:dyDescent="0.25">
      <c r="A13" s="31"/>
      <c r="B13" s="22"/>
      <c r="E13" s="11"/>
      <c r="F13" s="11"/>
      <c r="G13" s="11"/>
      <c r="H13" s="11"/>
      <c r="J13" s="32"/>
    </row>
    <row r="14" spans="1:10" x14ac:dyDescent="0.25">
      <c r="A14" s="31"/>
      <c r="B14" s="22"/>
      <c r="E14" s="11"/>
      <c r="F14" s="11"/>
      <c r="G14" s="11"/>
      <c r="H14" s="11"/>
      <c r="J14" s="32"/>
    </row>
    <row r="15" spans="1:10" x14ac:dyDescent="0.25">
      <c r="A15" s="31"/>
      <c r="B15" s="22"/>
      <c r="E15" s="11"/>
      <c r="F15" s="11"/>
      <c r="G15" s="11"/>
      <c r="H15" s="11"/>
      <c r="J15" s="32"/>
    </row>
    <row r="16" spans="1:10" x14ac:dyDescent="0.25">
      <c r="A16" s="31"/>
      <c r="B16" s="22"/>
      <c r="E16" s="11"/>
      <c r="F16" s="11"/>
      <c r="G16" s="11"/>
      <c r="H16" s="11"/>
      <c r="J16" s="32"/>
    </row>
    <row r="17" spans="1:10" x14ac:dyDescent="0.25">
      <c r="A17" s="31"/>
      <c r="B17" s="22"/>
      <c r="E17" s="11"/>
      <c r="F17" s="11"/>
      <c r="G17" s="11"/>
      <c r="H17" s="11"/>
      <c r="J17" s="32"/>
    </row>
    <row r="18" spans="1:10" x14ac:dyDescent="0.25">
      <c r="A18" s="31"/>
      <c r="B18" s="22"/>
      <c r="E18" s="11"/>
      <c r="F18" s="11"/>
      <c r="G18" s="11"/>
      <c r="H18" s="11"/>
      <c r="J18" s="32"/>
    </row>
    <row r="19" spans="1:10" x14ac:dyDescent="0.25">
      <c r="A19" s="31"/>
      <c r="B19" s="22"/>
      <c r="E19" s="11"/>
      <c r="F19" s="11"/>
      <c r="G19" s="11"/>
      <c r="H19" s="11"/>
      <c r="J19" s="32"/>
    </row>
    <row r="20" spans="1:10" x14ac:dyDescent="0.25">
      <c r="A20" s="31"/>
      <c r="B20" s="22"/>
      <c r="E20" s="11"/>
      <c r="F20" s="11"/>
      <c r="G20" s="11"/>
      <c r="H20" s="11"/>
      <c r="J20" s="32"/>
    </row>
    <row r="21" spans="1:10" x14ac:dyDescent="0.25">
      <c r="A21" s="31"/>
      <c r="B21" s="22"/>
      <c r="E21" s="11"/>
      <c r="F21" s="11"/>
      <c r="G21" s="11"/>
      <c r="H21" s="11"/>
      <c r="J21" s="32"/>
    </row>
    <row r="22" spans="1:10" x14ac:dyDescent="0.25">
      <c r="A22" s="31"/>
      <c r="B22" s="22"/>
      <c r="E22" s="11"/>
      <c r="F22" s="11"/>
      <c r="G22" s="11"/>
      <c r="H22" s="11"/>
      <c r="J22" s="32"/>
    </row>
    <row r="23" spans="1:10" x14ac:dyDescent="0.25">
      <c r="A23" s="31"/>
      <c r="B23" s="22"/>
      <c r="E23" s="11"/>
      <c r="F23" s="11"/>
      <c r="G23" s="11"/>
      <c r="H23" s="11"/>
      <c r="J23" s="32"/>
    </row>
    <row r="24" spans="1:10" x14ac:dyDescent="0.25">
      <c r="A24" s="31"/>
      <c r="B24" s="22"/>
      <c r="E24" s="11"/>
      <c r="F24" s="11"/>
      <c r="G24" s="11"/>
      <c r="H24" s="11"/>
      <c r="J24" s="32"/>
    </row>
    <row r="25" spans="1:10" x14ac:dyDescent="0.25">
      <c r="A25" s="31"/>
      <c r="B25" s="22"/>
      <c r="E25" s="11"/>
      <c r="F25" s="11"/>
      <c r="G25" s="11"/>
      <c r="H25" s="11"/>
      <c r="J25" s="32"/>
    </row>
    <row r="26" spans="1:10" x14ac:dyDescent="0.25">
      <c r="A26" s="31"/>
      <c r="B26" s="22"/>
      <c r="E26" s="11"/>
      <c r="F26" s="11"/>
      <c r="G26" s="11"/>
      <c r="H26" s="11"/>
      <c r="J26" s="32"/>
    </row>
    <row r="27" spans="1:10" x14ac:dyDescent="0.25">
      <c r="A27" s="31"/>
      <c r="B27" s="22"/>
      <c r="E27" s="11"/>
      <c r="F27" s="11"/>
      <c r="G27" s="11"/>
      <c r="H27" s="11"/>
      <c r="J27" s="32"/>
    </row>
    <row r="28" spans="1:10" x14ac:dyDescent="0.25">
      <c r="A28" s="31"/>
      <c r="B28" s="22"/>
      <c r="E28" s="11"/>
      <c r="F28" s="11"/>
      <c r="G28" s="11"/>
      <c r="H28" s="11"/>
      <c r="J28" s="32"/>
    </row>
    <row r="29" spans="1:10" x14ac:dyDescent="0.25">
      <c r="A29" s="31"/>
      <c r="B29" s="22"/>
      <c r="E29" s="11"/>
      <c r="F29" s="11"/>
      <c r="G29" s="11"/>
      <c r="H29" s="11"/>
      <c r="J29" s="32"/>
    </row>
    <row r="30" spans="1:10" x14ac:dyDescent="0.25">
      <c r="A30" s="31"/>
      <c r="B30" s="22"/>
      <c r="E30" s="11"/>
      <c r="F30" s="11"/>
      <c r="G30" s="11"/>
      <c r="H30" s="11"/>
      <c r="J30" s="32"/>
    </row>
    <row r="31" spans="1:10" x14ac:dyDescent="0.25">
      <c r="A31" s="31"/>
      <c r="B31" s="22"/>
      <c r="E31" s="11"/>
      <c r="F31" s="11"/>
      <c r="G31" s="11"/>
      <c r="H31" s="11"/>
      <c r="J31" s="32"/>
    </row>
    <row r="32" spans="1:10" x14ac:dyDescent="0.25">
      <c r="A32" s="31"/>
      <c r="B32" s="22"/>
      <c r="E32" s="11"/>
      <c r="F32" s="11"/>
      <c r="G32" s="11"/>
      <c r="H32" s="11"/>
      <c r="J32" s="32"/>
    </row>
    <row r="33" spans="1:10" x14ac:dyDescent="0.25">
      <c r="A33" s="31"/>
      <c r="B33" s="22"/>
      <c r="E33" s="11"/>
      <c r="F33" s="11"/>
      <c r="G33" s="11"/>
      <c r="H33" s="11"/>
      <c r="J33" s="32"/>
    </row>
    <row r="34" spans="1:10" x14ac:dyDescent="0.25">
      <c r="A34" s="31"/>
      <c r="B34" s="22"/>
      <c r="E34" s="11"/>
      <c r="F34" s="11"/>
      <c r="G34" s="11"/>
      <c r="H34" s="11"/>
      <c r="J34" s="32"/>
    </row>
    <row r="35" spans="1:10" x14ac:dyDescent="0.25">
      <c r="A35" s="31"/>
      <c r="B35" s="22"/>
      <c r="J35" s="32"/>
    </row>
    <row r="36" spans="1:10" x14ac:dyDescent="0.25">
      <c r="A36" s="31"/>
      <c r="B36" s="22"/>
      <c r="J36" s="32"/>
    </row>
    <row r="37" spans="1:10" x14ac:dyDescent="0.25">
      <c r="A37" s="31"/>
      <c r="B37" s="22"/>
      <c r="J37" s="32"/>
    </row>
    <row r="38" spans="1:10" x14ac:dyDescent="0.25">
      <c r="A38" s="31"/>
      <c r="B38" s="22"/>
      <c r="J38" s="32"/>
    </row>
    <row r="39" spans="1:10" x14ac:dyDescent="0.25">
      <c r="A39" s="31"/>
      <c r="B39" s="22"/>
      <c r="J39" s="32"/>
    </row>
    <row r="40" spans="1:10" x14ac:dyDescent="0.25">
      <c r="A40" s="31"/>
      <c r="B40" s="22"/>
      <c r="J40" s="32"/>
    </row>
    <row r="41" spans="1:10" x14ac:dyDescent="0.25">
      <c r="A41" s="31"/>
      <c r="B41" s="22"/>
      <c r="J41" s="32"/>
    </row>
    <row r="42" spans="1:10" x14ac:dyDescent="0.25">
      <c r="A42" s="31"/>
      <c r="B42" s="22"/>
      <c r="J42" s="32"/>
    </row>
    <row r="43" spans="1:10" x14ac:dyDescent="0.25">
      <c r="A43" s="31"/>
      <c r="B43" s="22"/>
      <c r="J43" s="32"/>
    </row>
    <row r="44" spans="1:10" x14ac:dyDescent="0.25">
      <c r="A44" s="31"/>
      <c r="B44" s="22"/>
      <c r="J44" s="32"/>
    </row>
    <row r="45" spans="1:10" x14ac:dyDescent="0.25">
      <c r="A45" s="31"/>
      <c r="B45" s="22"/>
      <c r="J45" s="32"/>
    </row>
    <row r="46" spans="1:10" x14ac:dyDescent="0.25">
      <c r="A46" s="31"/>
      <c r="B46" s="22"/>
      <c r="J46" s="32"/>
    </row>
    <row r="47" spans="1:10" x14ac:dyDescent="0.25">
      <c r="A47" s="31"/>
      <c r="B47" s="22"/>
      <c r="J47" s="32"/>
    </row>
    <row r="48" spans="1:10" x14ac:dyDescent="0.25">
      <c r="A48" s="31"/>
      <c r="B48" s="22"/>
      <c r="J48" s="32"/>
    </row>
    <row r="49" spans="1:10" x14ac:dyDescent="0.25">
      <c r="A49" s="31"/>
      <c r="B49" s="22"/>
      <c r="J49" s="32"/>
    </row>
    <row r="50" spans="1:10" x14ac:dyDescent="0.25">
      <c r="A50" s="31"/>
      <c r="B50" s="22"/>
      <c r="J50" s="32"/>
    </row>
    <row r="51" spans="1:10" x14ac:dyDescent="0.25">
      <c r="A51" s="31"/>
      <c r="B51" s="22"/>
      <c r="J51" s="32"/>
    </row>
    <row r="52" spans="1:10" x14ac:dyDescent="0.25">
      <c r="A52" s="31"/>
      <c r="B52" s="22"/>
      <c r="J52" s="32"/>
    </row>
    <row r="53" spans="1:10" x14ac:dyDescent="0.25">
      <c r="A53" s="31"/>
      <c r="B53" s="22"/>
      <c r="J53" s="32"/>
    </row>
    <row r="54" spans="1:10" x14ac:dyDescent="0.25">
      <c r="A54" s="31"/>
      <c r="B54" s="22"/>
      <c r="J54" s="32"/>
    </row>
    <row r="55" spans="1:10" x14ac:dyDescent="0.25">
      <c r="A55" s="31"/>
      <c r="B55" s="22"/>
      <c r="J55" s="32"/>
    </row>
    <row r="56" spans="1:10" x14ac:dyDescent="0.25">
      <c r="A56" s="31"/>
      <c r="B56" s="22"/>
      <c r="J56" s="32"/>
    </row>
    <row r="57" spans="1:10" x14ac:dyDescent="0.25">
      <c r="A57" s="31"/>
      <c r="B57" s="22"/>
      <c r="J57" s="32"/>
    </row>
    <row r="58" spans="1:10" x14ac:dyDescent="0.25">
      <c r="A58" s="31"/>
      <c r="B58" s="22"/>
      <c r="J58" s="32"/>
    </row>
    <row r="59" spans="1:10" x14ac:dyDescent="0.25">
      <c r="A59" s="31"/>
      <c r="B59" s="22"/>
      <c r="J59" s="32"/>
    </row>
    <row r="60" spans="1:10" x14ac:dyDescent="0.25">
      <c r="A60" s="31"/>
      <c r="B60" s="22"/>
      <c r="J60" s="32"/>
    </row>
    <row r="61" spans="1:10" x14ac:dyDescent="0.25">
      <c r="A61" s="31"/>
      <c r="B61" s="22"/>
      <c r="J61" s="32"/>
    </row>
    <row r="62" spans="1:10" x14ac:dyDescent="0.25">
      <c r="A62" s="31"/>
      <c r="B62" s="22"/>
      <c r="J62" s="32"/>
    </row>
    <row r="63" spans="1:10" x14ac:dyDescent="0.25">
      <c r="A63" s="31"/>
      <c r="B63" s="22"/>
      <c r="J63" s="32"/>
    </row>
    <row r="64" spans="1:10" x14ac:dyDescent="0.25">
      <c r="A64" s="31"/>
      <c r="B64" s="22"/>
      <c r="J64" s="32"/>
    </row>
    <row r="65" spans="1:10" x14ac:dyDescent="0.25">
      <c r="A65" s="31"/>
      <c r="B65" s="22"/>
      <c r="J65" s="32"/>
    </row>
    <row r="66" spans="1:10" x14ac:dyDescent="0.25">
      <c r="A66" s="31"/>
      <c r="B66" s="22"/>
      <c r="J66" s="32"/>
    </row>
    <row r="67" spans="1:10" x14ac:dyDescent="0.25">
      <c r="A67" s="31"/>
      <c r="B67" s="22"/>
      <c r="J67" s="32"/>
    </row>
    <row r="68" spans="1:10" x14ac:dyDescent="0.25">
      <c r="A68" s="31"/>
      <c r="B68" s="22"/>
      <c r="J68" s="32"/>
    </row>
    <row r="69" spans="1:10" x14ac:dyDescent="0.25">
      <c r="A69" s="31"/>
      <c r="B69" s="22"/>
      <c r="J69" s="32"/>
    </row>
    <row r="70" spans="1:10" x14ac:dyDescent="0.25">
      <c r="A70" s="31"/>
      <c r="B70" s="22"/>
      <c r="J70" s="32"/>
    </row>
    <row r="71" spans="1:10" x14ac:dyDescent="0.25">
      <c r="A71" s="31"/>
      <c r="B71" s="22"/>
      <c r="J71" s="32"/>
    </row>
    <row r="72" spans="1:10" x14ac:dyDescent="0.25">
      <c r="A72" s="31"/>
      <c r="B72" s="22"/>
      <c r="J72" s="32"/>
    </row>
    <row r="73" spans="1:10" x14ac:dyDescent="0.25">
      <c r="A73" s="31"/>
      <c r="B73" s="22"/>
      <c r="J73" s="32"/>
    </row>
    <row r="74" spans="1:10" x14ac:dyDescent="0.25">
      <c r="A74" s="31"/>
      <c r="B74" s="22"/>
      <c r="J74" s="32"/>
    </row>
    <row r="75" spans="1:10" x14ac:dyDescent="0.25">
      <c r="A75" s="31"/>
      <c r="B75" s="22"/>
      <c r="J75" s="32"/>
    </row>
    <row r="76" spans="1:10" x14ac:dyDescent="0.25">
      <c r="A76" s="31"/>
      <c r="B76" s="22"/>
      <c r="J76" s="32"/>
    </row>
    <row r="77" spans="1:10" x14ac:dyDescent="0.25">
      <c r="A77" s="31"/>
      <c r="B77" s="22"/>
      <c r="J77" s="32"/>
    </row>
    <row r="78" spans="1:10" x14ac:dyDescent="0.25">
      <c r="A78" s="31"/>
      <c r="B78" s="22"/>
      <c r="J78" s="32"/>
    </row>
    <row r="79" spans="1:10" x14ac:dyDescent="0.25">
      <c r="A79" s="31"/>
      <c r="B79" s="22"/>
      <c r="J79" s="32"/>
    </row>
    <row r="80" spans="1:10" x14ac:dyDescent="0.25">
      <c r="A80" s="31"/>
      <c r="B80" s="22"/>
      <c r="J80" s="32"/>
    </row>
    <row r="81" spans="1:10" x14ac:dyDescent="0.25">
      <c r="A81" s="31"/>
      <c r="B81" s="22"/>
      <c r="J81" s="32"/>
    </row>
    <row r="82" spans="1:10" x14ac:dyDescent="0.25">
      <c r="A82" s="31"/>
      <c r="B82" s="22"/>
      <c r="J82" s="32"/>
    </row>
    <row r="83" spans="1:10" x14ac:dyDescent="0.25">
      <c r="A83" s="31"/>
      <c r="B83" s="22"/>
      <c r="J83" s="32"/>
    </row>
    <row r="84" spans="1:10" x14ac:dyDescent="0.25">
      <c r="A84" s="31"/>
      <c r="B84" s="22"/>
      <c r="J84" s="32"/>
    </row>
    <row r="85" spans="1:10" x14ac:dyDescent="0.25">
      <c r="A85" s="31"/>
      <c r="B85" s="22"/>
      <c r="J85" s="32"/>
    </row>
    <row r="86" spans="1:10" x14ac:dyDescent="0.25">
      <c r="A86" s="31"/>
      <c r="B86" s="22"/>
      <c r="J86" s="32"/>
    </row>
    <row r="87" spans="1:10" x14ac:dyDescent="0.25">
      <c r="A87" s="31"/>
      <c r="B87" s="22"/>
      <c r="J87" s="32"/>
    </row>
    <row r="88" spans="1:10" x14ac:dyDescent="0.25">
      <c r="A88" s="31"/>
      <c r="B88" s="22"/>
      <c r="J88" s="32"/>
    </row>
    <row r="89" spans="1:10" x14ac:dyDescent="0.25">
      <c r="A89" s="31"/>
      <c r="B89" s="22"/>
      <c r="J89" s="32"/>
    </row>
    <row r="90" spans="1:10" x14ac:dyDescent="0.25">
      <c r="A90" s="31"/>
      <c r="B90" s="22"/>
      <c r="J90" s="32"/>
    </row>
    <row r="91" spans="1:10" x14ac:dyDescent="0.25">
      <c r="A91" s="31"/>
      <c r="B91" s="22"/>
      <c r="J91" s="32"/>
    </row>
    <row r="92" spans="1:10" x14ac:dyDescent="0.25">
      <c r="A92" s="31"/>
      <c r="B92" s="22"/>
      <c r="J92" s="32"/>
    </row>
    <row r="93" spans="1:10" x14ac:dyDescent="0.25">
      <c r="A93" s="31"/>
      <c r="B93" s="22"/>
      <c r="J93" s="32"/>
    </row>
    <row r="94" spans="1:10" x14ac:dyDescent="0.25">
      <c r="A94" s="31"/>
      <c r="B94" s="22"/>
      <c r="J94" s="32"/>
    </row>
    <row r="95" spans="1:10" x14ac:dyDescent="0.25">
      <c r="A95" s="31"/>
      <c r="B95" s="22"/>
      <c r="J95" s="32"/>
    </row>
    <row r="96" spans="1:10" x14ac:dyDescent="0.25">
      <c r="A96" s="31"/>
      <c r="B96" s="22"/>
      <c r="J96" s="32"/>
    </row>
    <row r="97" spans="1:10" x14ac:dyDescent="0.25">
      <c r="A97" s="31"/>
      <c r="B97" s="22"/>
      <c r="J97" s="32"/>
    </row>
    <row r="98" spans="1:10" x14ac:dyDescent="0.25">
      <c r="A98" s="31"/>
      <c r="B98" s="22"/>
      <c r="J98" s="32"/>
    </row>
    <row r="99" spans="1:10" x14ac:dyDescent="0.25">
      <c r="A99" s="31"/>
      <c r="B99" s="22"/>
      <c r="J99" s="32"/>
    </row>
    <row r="100" spans="1:10" x14ac:dyDescent="0.25">
      <c r="A100" s="31"/>
      <c r="B100" s="22"/>
      <c r="J100" s="32"/>
    </row>
    <row r="101" spans="1:10" x14ac:dyDescent="0.25">
      <c r="A101" s="31"/>
      <c r="B101" s="22"/>
      <c r="J101" s="32"/>
    </row>
    <row r="102" spans="1:10" x14ac:dyDescent="0.25">
      <c r="A102" s="31"/>
      <c r="B102" s="22"/>
      <c r="J102" s="32"/>
    </row>
    <row r="103" spans="1:10" ht="15.75" thickBot="1" x14ac:dyDescent="0.3">
      <c r="A103" s="33"/>
      <c r="B103" s="34"/>
      <c r="C103" s="35"/>
      <c r="D103" s="35"/>
      <c r="E103" s="35"/>
      <c r="F103" s="35"/>
      <c r="G103" s="35"/>
      <c r="H103" s="35"/>
      <c r="I103" s="35"/>
      <c r="J103" s="62"/>
    </row>
    <row r="106" spans="1:10" ht="21" x14ac:dyDescent="0.25">
      <c r="A106" s="196" t="s">
        <v>273</v>
      </c>
      <c r="B106" s="196"/>
      <c r="C106" s="196"/>
      <c r="D106" s="196"/>
      <c r="E106" s="196"/>
      <c r="F106" s="196"/>
      <c r="G106" s="196"/>
      <c r="H106" s="196"/>
    </row>
    <row r="107" spans="1:10" ht="21" x14ac:dyDescent="0.25">
      <c r="A107" s="196" t="s">
        <v>289</v>
      </c>
      <c r="B107" s="196"/>
      <c r="C107" s="196"/>
      <c r="D107" s="196"/>
      <c r="E107" s="196"/>
      <c r="F107" s="196"/>
      <c r="G107" s="196"/>
      <c r="H107" s="196"/>
    </row>
  </sheetData>
  <mergeCells count="14">
    <mergeCell ref="B5:B7"/>
    <mergeCell ref="A5:A7"/>
    <mergeCell ref="A106:H106"/>
    <mergeCell ref="A107:H107"/>
    <mergeCell ref="A2:J2"/>
    <mergeCell ref="A3:J3"/>
    <mergeCell ref="E6:E7"/>
    <mergeCell ref="F6:H6"/>
    <mergeCell ref="I6:I7"/>
    <mergeCell ref="J6:J7"/>
    <mergeCell ref="I5:J5"/>
    <mergeCell ref="C5:H5"/>
    <mergeCell ref="D6:D7"/>
    <mergeCell ref="C6:C7"/>
  </mergeCells>
  <pageMargins left="0.7" right="0.7" top="0.75" bottom="0.75" header="0.3" footer="0.3"/>
  <pageSetup paperSize="9" orientation="portrait" verticalDpi="0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0000000}">
          <x14:formula1>
            <xm:f>'Р 1. "Общие сведения"'!$I$7:$I$179</xm:f>
          </x14:formula1>
          <xm:sqref>A9:A103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9"/>
  <dimension ref="A2:H103"/>
  <sheetViews>
    <sheetView view="pageBreakPreview" zoomScaleNormal="100" zoomScaleSheetLayoutView="100" workbookViewId="0">
      <selection activeCell="B9" sqref="B9:B14"/>
    </sheetView>
  </sheetViews>
  <sheetFormatPr defaultColWidth="39.28515625" defaultRowHeight="15" x14ac:dyDescent="0.25"/>
  <cols>
    <col min="1" max="1" width="39.28515625" style="1"/>
    <col min="2" max="2" width="22.28515625" style="1" customWidth="1"/>
    <col min="3" max="3" width="25.42578125" style="1" customWidth="1"/>
    <col min="4" max="4" width="25" style="1" customWidth="1"/>
    <col min="5" max="7" width="11.140625" style="1" customWidth="1"/>
    <col min="8" max="8" width="42.7109375" style="1" customWidth="1"/>
    <col min="9" max="7391" width="11.140625" style="1" customWidth="1"/>
    <col min="7392" max="16384" width="39.28515625" style="1"/>
  </cols>
  <sheetData>
    <row r="2" spans="1:8" ht="15.75" x14ac:dyDescent="0.25">
      <c r="A2" s="107"/>
      <c r="B2" s="107"/>
      <c r="C2" s="107"/>
      <c r="D2" s="107"/>
    </row>
    <row r="3" spans="1:8" ht="15.75" x14ac:dyDescent="0.25">
      <c r="A3" s="204" t="s">
        <v>199</v>
      </c>
      <c r="B3" s="204"/>
      <c r="C3" s="204"/>
      <c r="D3" s="204"/>
    </row>
    <row r="4" spans="1:8" ht="15.75" x14ac:dyDescent="0.25">
      <c r="A4" s="219"/>
      <c r="B4" s="219"/>
      <c r="C4" s="219"/>
      <c r="D4" s="219"/>
    </row>
    <row r="5" spans="1:8" ht="16.5" thickBot="1" x14ac:dyDescent="0.3">
      <c r="A5" s="107"/>
      <c r="B5" s="107"/>
      <c r="C5" s="107"/>
      <c r="D5" s="107"/>
    </row>
    <row r="6" spans="1:8" ht="30" customHeight="1" x14ac:dyDescent="0.25">
      <c r="A6" s="217" t="s">
        <v>290</v>
      </c>
      <c r="B6" s="213" t="s">
        <v>93</v>
      </c>
      <c r="C6" s="215"/>
      <c r="D6" s="214"/>
    </row>
    <row r="7" spans="1:8" ht="36" customHeight="1" x14ac:dyDescent="0.25">
      <c r="A7" s="218"/>
      <c r="B7" s="74" t="s">
        <v>391</v>
      </c>
      <c r="C7" s="74" t="s">
        <v>415</v>
      </c>
      <c r="D7" s="108" t="s">
        <v>392</v>
      </c>
    </row>
    <row r="8" spans="1:8" ht="15.75" hidden="1" x14ac:dyDescent="0.25">
      <c r="A8" s="109"/>
      <c r="B8" s="107"/>
      <c r="C8" s="107"/>
      <c r="D8" s="110"/>
    </row>
    <row r="9" spans="1:8" ht="15.75" x14ac:dyDescent="0.25">
      <c r="A9" s="109" t="s">
        <v>370</v>
      </c>
      <c r="B9" s="106">
        <v>572.6</v>
      </c>
      <c r="C9" s="106">
        <v>572</v>
      </c>
      <c r="D9" s="106">
        <v>572</v>
      </c>
    </row>
    <row r="10" spans="1:8" ht="15.75" x14ac:dyDescent="0.25">
      <c r="A10" s="109" t="s">
        <v>362</v>
      </c>
      <c r="B10" s="106">
        <v>250</v>
      </c>
      <c r="C10" s="106">
        <v>210</v>
      </c>
      <c r="D10" s="106">
        <v>210</v>
      </c>
    </row>
    <row r="11" spans="1:8" ht="31.5" x14ac:dyDescent="0.25">
      <c r="A11" s="109" t="s">
        <v>390</v>
      </c>
      <c r="B11" s="106">
        <v>210</v>
      </c>
      <c r="C11" s="106">
        <v>170.7</v>
      </c>
      <c r="D11" s="106">
        <v>170.7</v>
      </c>
    </row>
    <row r="12" spans="1:8" ht="47.25" x14ac:dyDescent="0.25">
      <c r="A12" s="109" t="s">
        <v>420</v>
      </c>
      <c r="B12" s="104">
        <v>0</v>
      </c>
      <c r="C12" s="104">
        <v>600</v>
      </c>
      <c r="D12" s="104">
        <v>600</v>
      </c>
      <c r="H12" s="57"/>
    </row>
    <row r="13" spans="1:8" ht="47.25" x14ac:dyDescent="0.25">
      <c r="A13" s="109" t="s">
        <v>421</v>
      </c>
      <c r="B13" s="104">
        <v>14800</v>
      </c>
      <c r="C13" s="104">
        <v>0</v>
      </c>
      <c r="D13" s="104">
        <v>0</v>
      </c>
    </row>
    <row r="14" spans="1:8" ht="31.5" x14ac:dyDescent="0.25">
      <c r="A14" s="109" t="s">
        <v>411</v>
      </c>
      <c r="B14" s="160">
        <v>1710</v>
      </c>
      <c r="C14" s="160">
        <v>675</v>
      </c>
      <c r="D14" s="160">
        <v>675</v>
      </c>
    </row>
    <row r="15" spans="1:8" ht="15.75" x14ac:dyDescent="0.25">
      <c r="A15" s="109"/>
      <c r="B15" s="104"/>
      <c r="C15" s="104"/>
      <c r="D15" s="104"/>
    </row>
    <row r="16" spans="1:8" ht="15.75" x14ac:dyDescent="0.25">
      <c r="A16" s="109"/>
      <c r="B16" s="104"/>
      <c r="C16" s="104"/>
      <c r="D16" s="104"/>
    </row>
    <row r="17" spans="1:4" ht="15.75" x14ac:dyDescent="0.25">
      <c r="A17" s="109"/>
      <c r="B17" s="104"/>
      <c r="C17" s="104"/>
      <c r="D17" s="104"/>
    </row>
    <row r="18" spans="1:4" ht="15.75" x14ac:dyDescent="0.25">
      <c r="A18" s="109"/>
      <c r="B18" s="104"/>
      <c r="C18" s="104"/>
      <c r="D18" s="104"/>
    </row>
    <row r="19" spans="1:4" ht="15.75" x14ac:dyDescent="0.25">
      <c r="A19" s="109"/>
      <c r="B19" s="104"/>
      <c r="C19" s="104"/>
      <c r="D19" s="104"/>
    </row>
    <row r="20" spans="1:4" ht="15.75" x14ac:dyDescent="0.25">
      <c r="A20" s="109"/>
      <c r="B20" s="104"/>
      <c r="C20" s="104"/>
      <c r="D20" s="104"/>
    </row>
    <row r="21" spans="1:4" ht="15.75" x14ac:dyDescent="0.25">
      <c r="A21" s="109"/>
      <c r="B21" s="104"/>
      <c r="C21" s="104"/>
      <c r="D21" s="104"/>
    </row>
    <row r="22" spans="1:4" ht="15.75" x14ac:dyDescent="0.25">
      <c r="A22" s="109"/>
      <c r="B22" s="106"/>
      <c r="C22" s="106"/>
      <c r="D22" s="106"/>
    </row>
    <row r="23" spans="1:4" ht="15.75" x14ac:dyDescent="0.25">
      <c r="A23" s="109"/>
      <c r="B23" s="106"/>
      <c r="C23" s="106"/>
      <c r="D23" s="106"/>
    </row>
    <row r="24" spans="1:4" ht="15.75" x14ac:dyDescent="0.25">
      <c r="A24" s="109"/>
      <c r="B24" s="106"/>
      <c r="C24" s="106"/>
      <c r="D24" s="106"/>
    </row>
    <row r="25" spans="1:4" ht="15.75" x14ac:dyDescent="0.25">
      <c r="A25" s="109" t="s">
        <v>378</v>
      </c>
      <c r="B25" s="111">
        <f>SUBTOTAL(109,B9:B24)</f>
        <v>17542.599999999999</v>
      </c>
      <c r="C25" s="111">
        <f>SUBTOTAL(109,C9:C24)</f>
        <v>2227.6999999999998</v>
      </c>
      <c r="D25" s="111">
        <f>SUBTOTAL(109,D9:D24)</f>
        <v>2227.6999999999998</v>
      </c>
    </row>
    <row r="26" spans="1:4" ht="15.75" x14ac:dyDescent="0.25">
      <c r="A26" s="109"/>
      <c r="B26" s="111"/>
      <c r="C26" s="111"/>
      <c r="D26" s="111"/>
    </row>
    <row r="27" spans="1:4" ht="15.75" x14ac:dyDescent="0.25">
      <c r="A27" s="109"/>
      <c r="B27" s="111"/>
      <c r="C27" s="111"/>
      <c r="D27" s="112"/>
    </row>
    <row r="28" spans="1:4" x14ac:dyDescent="0.25">
      <c r="A28" s="36"/>
      <c r="B28" s="37"/>
      <c r="C28" s="37"/>
      <c r="D28" s="38"/>
    </row>
    <row r="29" spans="1:4" x14ac:dyDescent="0.25">
      <c r="A29" s="36"/>
      <c r="B29" s="37"/>
      <c r="C29" s="37"/>
      <c r="D29" s="38"/>
    </row>
    <row r="30" spans="1:4" x14ac:dyDescent="0.25">
      <c r="A30" s="36"/>
      <c r="B30" s="37"/>
      <c r="C30" s="37"/>
      <c r="D30" s="38"/>
    </row>
    <row r="31" spans="1:4" x14ac:dyDescent="0.25">
      <c r="A31" s="36"/>
      <c r="B31" s="37"/>
      <c r="C31" s="37"/>
      <c r="D31" s="38"/>
    </row>
    <row r="32" spans="1:4" x14ac:dyDescent="0.25">
      <c r="A32" s="36"/>
      <c r="B32" s="37"/>
      <c r="C32" s="37"/>
      <c r="D32" s="38"/>
    </row>
    <row r="33" spans="1:4" x14ac:dyDescent="0.25">
      <c r="A33" s="36"/>
      <c r="B33" s="37"/>
      <c r="C33" s="37"/>
      <c r="D33" s="38"/>
    </row>
    <row r="34" spans="1:4" x14ac:dyDescent="0.25">
      <c r="A34" s="36"/>
      <c r="B34" s="37"/>
      <c r="C34" s="37"/>
      <c r="D34" s="38"/>
    </row>
    <row r="35" spans="1:4" x14ac:dyDescent="0.25">
      <c r="A35" s="36"/>
      <c r="B35" s="37"/>
      <c r="C35" s="37"/>
      <c r="D35" s="38"/>
    </row>
    <row r="36" spans="1:4" x14ac:dyDescent="0.25">
      <c r="A36" s="36"/>
      <c r="B36" s="37"/>
      <c r="C36" s="37"/>
      <c r="D36" s="38"/>
    </row>
    <row r="37" spans="1:4" x14ac:dyDescent="0.25">
      <c r="A37" s="36"/>
      <c r="B37" s="37"/>
      <c r="C37" s="37"/>
      <c r="D37" s="38"/>
    </row>
    <row r="38" spans="1:4" x14ac:dyDescent="0.25">
      <c r="A38" s="36"/>
      <c r="B38" s="37"/>
      <c r="C38" s="37"/>
      <c r="D38" s="38"/>
    </row>
    <row r="39" spans="1:4" x14ac:dyDescent="0.25">
      <c r="A39" s="36"/>
      <c r="B39" s="37"/>
      <c r="C39" s="37"/>
      <c r="D39" s="38"/>
    </row>
    <row r="40" spans="1:4" x14ac:dyDescent="0.25">
      <c r="A40" s="36"/>
      <c r="B40" s="37"/>
      <c r="C40" s="37"/>
      <c r="D40" s="38"/>
    </row>
    <row r="41" spans="1:4" x14ac:dyDescent="0.25">
      <c r="A41" s="36"/>
      <c r="B41" s="37"/>
      <c r="C41" s="37"/>
      <c r="D41" s="38"/>
    </row>
    <row r="42" spans="1:4" x14ac:dyDescent="0.25">
      <c r="A42" s="36"/>
      <c r="B42" s="37"/>
      <c r="C42" s="37"/>
      <c r="D42" s="38"/>
    </row>
    <row r="43" spans="1:4" x14ac:dyDescent="0.25">
      <c r="A43" s="36"/>
      <c r="B43" s="37"/>
      <c r="C43" s="37"/>
      <c r="D43" s="38"/>
    </row>
    <row r="44" spans="1:4" x14ac:dyDescent="0.25">
      <c r="A44" s="36"/>
      <c r="B44" s="37"/>
      <c r="C44" s="37"/>
      <c r="D44" s="38"/>
    </row>
    <row r="45" spans="1:4" x14ac:dyDescent="0.25">
      <c r="A45" s="36"/>
      <c r="B45" s="37"/>
      <c r="C45" s="37"/>
      <c r="D45" s="38"/>
    </row>
    <row r="46" spans="1:4" x14ac:dyDescent="0.25">
      <c r="A46" s="36"/>
      <c r="B46" s="37"/>
      <c r="C46" s="37"/>
      <c r="D46" s="38"/>
    </row>
    <row r="47" spans="1:4" x14ac:dyDescent="0.25">
      <c r="A47" s="36"/>
      <c r="B47" s="37"/>
      <c r="C47" s="37"/>
      <c r="D47" s="38"/>
    </row>
    <row r="48" spans="1:4" x14ac:dyDescent="0.25">
      <c r="A48" s="36"/>
      <c r="B48" s="37"/>
      <c r="C48" s="37"/>
      <c r="D48" s="38"/>
    </row>
    <row r="49" spans="1:4" x14ac:dyDescent="0.25">
      <c r="A49" s="36"/>
      <c r="B49" s="37"/>
      <c r="C49" s="37"/>
      <c r="D49" s="38"/>
    </row>
    <row r="50" spans="1:4" x14ac:dyDescent="0.25">
      <c r="A50" s="36"/>
      <c r="B50" s="37"/>
      <c r="C50" s="37"/>
      <c r="D50" s="38"/>
    </row>
    <row r="51" spans="1:4" x14ac:dyDescent="0.25">
      <c r="A51" s="36"/>
      <c r="B51" s="37"/>
      <c r="C51" s="37"/>
      <c r="D51" s="38"/>
    </row>
    <row r="52" spans="1:4" x14ac:dyDescent="0.25">
      <c r="A52" s="36"/>
      <c r="B52" s="37"/>
      <c r="C52" s="37"/>
      <c r="D52" s="38"/>
    </row>
    <row r="53" spans="1:4" x14ac:dyDescent="0.25">
      <c r="A53" s="36"/>
      <c r="B53" s="37"/>
      <c r="C53" s="37"/>
      <c r="D53" s="38"/>
    </row>
    <row r="54" spans="1:4" x14ac:dyDescent="0.25">
      <c r="A54" s="36"/>
      <c r="B54" s="37"/>
      <c r="C54" s="37"/>
      <c r="D54" s="38"/>
    </row>
    <row r="55" spans="1:4" x14ac:dyDescent="0.25">
      <c r="A55" s="36"/>
      <c r="B55" s="37"/>
      <c r="C55" s="37"/>
      <c r="D55" s="38"/>
    </row>
    <row r="56" spans="1:4" x14ac:dyDescent="0.25">
      <c r="A56" s="36"/>
      <c r="B56" s="37"/>
      <c r="C56" s="37"/>
      <c r="D56" s="38"/>
    </row>
    <row r="57" spans="1:4" x14ac:dyDescent="0.25">
      <c r="A57" s="36"/>
      <c r="B57" s="37"/>
      <c r="C57" s="37"/>
      <c r="D57" s="38"/>
    </row>
    <row r="58" spans="1:4" x14ac:dyDescent="0.25">
      <c r="A58" s="36"/>
      <c r="B58" s="37"/>
      <c r="C58" s="37"/>
      <c r="D58" s="38"/>
    </row>
    <row r="59" spans="1:4" x14ac:dyDescent="0.25">
      <c r="A59" s="36"/>
      <c r="B59" s="37"/>
      <c r="C59" s="37"/>
      <c r="D59" s="38"/>
    </row>
    <row r="60" spans="1:4" x14ac:dyDescent="0.25">
      <c r="A60" s="36"/>
      <c r="B60" s="37"/>
      <c r="C60" s="37"/>
      <c r="D60" s="38"/>
    </row>
    <row r="61" spans="1:4" x14ac:dyDescent="0.25">
      <c r="A61" s="36"/>
      <c r="B61" s="37"/>
      <c r="C61" s="37"/>
      <c r="D61" s="38"/>
    </row>
    <row r="62" spans="1:4" x14ac:dyDescent="0.25">
      <c r="A62" s="36"/>
      <c r="B62" s="37"/>
      <c r="C62" s="37"/>
      <c r="D62" s="38"/>
    </row>
    <row r="63" spans="1:4" x14ac:dyDescent="0.25">
      <c r="A63" s="36"/>
      <c r="B63" s="37"/>
      <c r="C63" s="37"/>
      <c r="D63" s="38"/>
    </row>
    <row r="64" spans="1:4" x14ac:dyDescent="0.25">
      <c r="A64" s="36"/>
      <c r="B64" s="37"/>
      <c r="C64" s="37"/>
      <c r="D64" s="38"/>
    </row>
    <row r="65" spans="1:4" x14ac:dyDescent="0.25">
      <c r="A65" s="36"/>
      <c r="B65" s="37"/>
      <c r="C65" s="37"/>
      <c r="D65" s="38"/>
    </row>
    <row r="66" spans="1:4" x14ac:dyDescent="0.25">
      <c r="A66" s="36"/>
      <c r="B66" s="37"/>
      <c r="C66" s="37"/>
      <c r="D66" s="38"/>
    </row>
    <row r="67" spans="1:4" x14ac:dyDescent="0.25">
      <c r="A67" s="36"/>
      <c r="B67" s="37"/>
      <c r="C67" s="37"/>
      <c r="D67" s="38"/>
    </row>
    <row r="68" spans="1:4" x14ac:dyDescent="0.25">
      <c r="A68" s="36"/>
      <c r="B68" s="37"/>
      <c r="C68" s="37"/>
      <c r="D68" s="38"/>
    </row>
    <row r="69" spans="1:4" x14ac:dyDescent="0.25">
      <c r="A69" s="36"/>
      <c r="B69" s="37"/>
      <c r="C69" s="37"/>
      <c r="D69" s="38"/>
    </row>
    <row r="70" spans="1:4" x14ac:dyDescent="0.25">
      <c r="A70" s="36"/>
      <c r="B70" s="37"/>
      <c r="C70" s="37"/>
      <c r="D70" s="38"/>
    </row>
    <row r="71" spans="1:4" x14ac:dyDescent="0.25">
      <c r="A71" s="36"/>
      <c r="B71" s="37"/>
      <c r="C71" s="37"/>
      <c r="D71" s="38"/>
    </row>
    <row r="72" spans="1:4" x14ac:dyDescent="0.25">
      <c r="A72" s="36"/>
      <c r="B72" s="37"/>
      <c r="C72" s="37"/>
      <c r="D72" s="38"/>
    </row>
    <row r="73" spans="1:4" x14ac:dyDescent="0.25">
      <c r="A73" s="36"/>
      <c r="B73" s="37"/>
      <c r="C73" s="37"/>
      <c r="D73" s="38"/>
    </row>
    <row r="74" spans="1:4" x14ac:dyDescent="0.25">
      <c r="A74" s="36"/>
      <c r="B74" s="37"/>
      <c r="C74" s="37"/>
      <c r="D74" s="38"/>
    </row>
    <row r="75" spans="1:4" x14ac:dyDescent="0.25">
      <c r="A75" s="36"/>
      <c r="B75" s="37"/>
      <c r="C75" s="37"/>
      <c r="D75" s="38"/>
    </row>
    <row r="76" spans="1:4" x14ac:dyDescent="0.25">
      <c r="A76" s="36"/>
      <c r="B76" s="37"/>
      <c r="C76" s="37"/>
      <c r="D76" s="38"/>
    </row>
    <row r="77" spans="1:4" x14ac:dyDescent="0.25">
      <c r="A77" s="36"/>
      <c r="B77" s="37"/>
      <c r="C77" s="37"/>
      <c r="D77" s="38"/>
    </row>
    <row r="78" spans="1:4" x14ac:dyDescent="0.25">
      <c r="A78" s="36"/>
      <c r="B78" s="37"/>
      <c r="C78" s="37"/>
      <c r="D78" s="38"/>
    </row>
    <row r="79" spans="1:4" x14ac:dyDescent="0.25">
      <c r="A79" s="36"/>
      <c r="B79" s="37"/>
      <c r="C79" s="37"/>
      <c r="D79" s="38"/>
    </row>
    <row r="80" spans="1:4" x14ac:dyDescent="0.25">
      <c r="A80" s="36"/>
      <c r="B80" s="37"/>
      <c r="C80" s="37"/>
      <c r="D80" s="38"/>
    </row>
    <row r="81" spans="1:4" x14ac:dyDescent="0.25">
      <c r="A81" s="36"/>
      <c r="B81" s="37"/>
      <c r="C81" s="37"/>
      <c r="D81" s="38"/>
    </row>
    <row r="82" spans="1:4" x14ac:dyDescent="0.25">
      <c r="A82" s="36"/>
      <c r="B82" s="37"/>
      <c r="C82" s="37"/>
      <c r="D82" s="38"/>
    </row>
    <row r="83" spans="1:4" x14ac:dyDescent="0.25">
      <c r="A83" s="36"/>
      <c r="B83" s="37"/>
      <c r="C83" s="37"/>
      <c r="D83" s="38"/>
    </row>
    <row r="84" spans="1:4" x14ac:dyDescent="0.25">
      <c r="A84" s="36"/>
      <c r="B84" s="37"/>
      <c r="C84" s="37"/>
      <c r="D84" s="38"/>
    </row>
    <row r="85" spans="1:4" x14ac:dyDescent="0.25">
      <c r="A85" s="36"/>
      <c r="B85" s="37"/>
      <c r="C85" s="37"/>
      <c r="D85" s="38"/>
    </row>
    <row r="86" spans="1:4" x14ac:dyDescent="0.25">
      <c r="A86" s="36"/>
      <c r="B86" s="37"/>
      <c r="C86" s="37"/>
      <c r="D86" s="38"/>
    </row>
    <row r="87" spans="1:4" x14ac:dyDescent="0.25">
      <c r="A87" s="36"/>
      <c r="B87" s="37"/>
      <c r="C87" s="37"/>
      <c r="D87" s="38"/>
    </row>
    <row r="88" spans="1:4" x14ac:dyDescent="0.25">
      <c r="A88" s="36"/>
      <c r="B88" s="37"/>
      <c r="C88" s="37"/>
      <c r="D88" s="38"/>
    </row>
    <row r="89" spans="1:4" x14ac:dyDescent="0.25">
      <c r="A89" s="36"/>
      <c r="B89" s="37"/>
      <c r="C89" s="37"/>
      <c r="D89" s="38"/>
    </row>
    <row r="90" spans="1:4" x14ac:dyDescent="0.25">
      <c r="A90" s="36"/>
      <c r="B90" s="37"/>
      <c r="C90" s="37"/>
      <c r="D90" s="38"/>
    </row>
    <row r="91" spans="1:4" x14ac:dyDescent="0.25">
      <c r="A91" s="36"/>
      <c r="B91" s="37"/>
      <c r="C91" s="37"/>
      <c r="D91" s="38"/>
    </row>
    <row r="92" spans="1:4" x14ac:dyDescent="0.25">
      <c r="A92" s="36"/>
      <c r="B92" s="37"/>
      <c r="C92" s="37"/>
      <c r="D92" s="38"/>
    </row>
    <row r="93" spans="1:4" x14ac:dyDescent="0.25">
      <c r="A93" s="36"/>
      <c r="B93" s="37"/>
      <c r="C93" s="37"/>
      <c r="D93" s="38"/>
    </row>
    <row r="94" spans="1:4" x14ac:dyDescent="0.25">
      <c r="A94" s="36"/>
      <c r="B94" s="37"/>
      <c r="C94" s="37"/>
      <c r="D94" s="38"/>
    </row>
    <row r="95" spans="1:4" x14ac:dyDescent="0.25">
      <c r="A95" s="36"/>
      <c r="B95" s="37"/>
      <c r="C95" s="37"/>
      <c r="D95" s="38"/>
    </row>
    <row r="96" spans="1:4" x14ac:dyDescent="0.25">
      <c r="A96" s="36"/>
      <c r="B96" s="37"/>
      <c r="C96" s="37"/>
      <c r="D96" s="38"/>
    </row>
    <row r="97" spans="1:8" x14ac:dyDescent="0.25">
      <c r="A97" s="36"/>
      <c r="B97" s="37"/>
      <c r="C97" s="37"/>
      <c r="D97" s="38"/>
    </row>
    <row r="98" spans="1:8" x14ac:dyDescent="0.25">
      <c r="A98" s="36"/>
      <c r="B98" s="37"/>
      <c r="C98" s="37"/>
      <c r="D98" s="38"/>
    </row>
    <row r="99" spans="1:8" x14ac:dyDescent="0.25">
      <c r="A99" s="36"/>
      <c r="B99" s="37"/>
      <c r="C99" s="37"/>
      <c r="D99" s="38"/>
    </row>
    <row r="100" spans="1:8" ht="15.75" thickBot="1" x14ac:dyDescent="0.3">
      <c r="A100" s="63"/>
      <c r="B100" s="65"/>
      <c r="C100" s="65"/>
      <c r="D100" s="66"/>
    </row>
    <row r="102" spans="1:8" ht="21" x14ac:dyDescent="0.25">
      <c r="A102" s="29" t="s">
        <v>291</v>
      </c>
      <c r="B102" s="29"/>
      <c r="C102" s="29"/>
      <c r="D102" s="29"/>
    </row>
    <row r="103" spans="1:8" ht="21" x14ac:dyDescent="0.25">
      <c r="A103" s="29" t="s">
        <v>292</v>
      </c>
      <c r="E103" s="29"/>
      <c r="F103" s="29"/>
      <c r="G103" s="29"/>
      <c r="H103" s="29"/>
    </row>
  </sheetData>
  <mergeCells count="4">
    <mergeCell ref="B6:D6"/>
    <mergeCell ref="A6:A7"/>
    <mergeCell ref="A3:D3"/>
    <mergeCell ref="A4:D4"/>
  </mergeCell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700-000000000000}">
          <x14:formula1>
            <xm:f>'Р 1. "Общие сведения"'!$I$7:$I$179</xm:f>
          </x14:formula1>
          <xm:sqref>A9:A100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10">
    <pageSetUpPr fitToPage="1"/>
  </sheetPr>
  <dimension ref="A2:L85"/>
  <sheetViews>
    <sheetView tabSelected="1" topLeftCell="A13" zoomScale="84" zoomScaleNormal="84" workbookViewId="0">
      <selection activeCell="H6" sqref="H6:H11"/>
    </sheetView>
  </sheetViews>
  <sheetFormatPr defaultRowHeight="15" x14ac:dyDescent="0.25"/>
  <cols>
    <col min="1" max="1" width="36.85546875" style="14" customWidth="1"/>
    <col min="2" max="2" width="15.42578125" style="14" customWidth="1"/>
    <col min="3" max="3" width="21.5703125" style="14" customWidth="1"/>
    <col min="4" max="4" width="20.28515625" style="14" customWidth="1"/>
    <col min="5" max="5" width="15.42578125" style="14" customWidth="1"/>
    <col min="6" max="6" width="31.5703125" style="14" customWidth="1"/>
    <col min="7" max="7" width="14.85546875" style="14" customWidth="1"/>
    <col min="8" max="8" width="16.42578125" style="14" customWidth="1"/>
    <col min="9" max="9" width="22.140625" style="14" customWidth="1"/>
    <col min="10" max="10" width="18.5703125" style="14" customWidth="1"/>
    <col min="11" max="11" width="21.28515625" style="14" customWidth="1"/>
    <col min="12" max="12" width="19.140625" style="14" customWidth="1"/>
    <col min="13" max="16384" width="9.140625" style="14"/>
  </cols>
  <sheetData>
    <row r="2" spans="1:12" x14ac:dyDescent="0.25">
      <c r="A2" s="220" t="s">
        <v>201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</row>
    <row r="4" spans="1:12" ht="15.75" thickBot="1" x14ac:dyDescent="0.3"/>
    <row r="5" spans="1:12" ht="75.75" thickBot="1" x14ac:dyDescent="0.3">
      <c r="A5" s="39" t="s">
        <v>293</v>
      </c>
      <c r="B5" s="40" t="s">
        <v>97</v>
      </c>
      <c r="C5" s="40" t="s">
        <v>98</v>
      </c>
      <c r="D5" s="41" t="s">
        <v>294</v>
      </c>
      <c r="E5" s="41" t="s">
        <v>295</v>
      </c>
      <c r="F5" s="40" t="s">
        <v>223</v>
      </c>
      <c r="G5" s="40" t="s">
        <v>99</v>
      </c>
      <c r="H5" s="40" t="s">
        <v>92</v>
      </c>
      <c r="I5" s="40" t="s">
        <v>101</v>
      </c>
      <c r="J5" s="40" t="s">
        <v>102</v>
      </c>
      <c r="K5" s="221" t="s">
        <v>100</v>
      </c>
      <c r="L5" s="221"/>
    </row>
    <row r="6" spans="1:12" ht="214.5" thickBot="1" x14ac:dyDescent="0.3">
      <c r="A6" s="1" t="s">
        <v>361</v>
      </c>
      <c r="B6" s="14" t="s">
        <v>393</v>
      </c>
      <c r="C6" s="14" t="s">
        <v>394</v>
      </c>
      <c r="D6" s="14" t="s">
        <v>213</v>
      </c>
      <c r="E6" s="14" t="s">
        <v>222</v>
      </c>
      <c r="F6" s="157" t="s">
        <v>395</v>
      </c>
      <c r="G6" s="158" t="s">
        <v>396</v>
      </c>
      <c r="H6" s="163">
        <v>572.6</v>
      </c>
      <c r="I6" s="14" t="s">
        <v>397</v>
      </c>
      <c r="J6" s="14" t="s">
        <v>398</v>
      </c>
      <c r="K6" s="162" t="s">
        <v>416</v>
      </c>
      <c r="L6" s="113"/>
    </row>
    <row r="7" spans="1:12" ht="165" x14ac:dyDescent="0.25">
      <c r="A7" s="1" t="s">
        <v>385</v>
      </c>
      <c r="B7" s="14" t="s">
        <v>400</v>
      </c>
      <c r="C7" s="14" t="s">
        <v>394</v>
      </c>
      <c r="D7" s="14" t="s">
        <v>213</v>
      </c>
      <c r="E7" s="14" t="s">
        <v>222</v>
      </c>
      <c r="F7" s="14" t="s">
        <v>401</v>
      </c>
      <c r="G7" s="158" t="s">
        <v>402</v>
      </c>
      <c r="H7" s="163">
        <v>250</v>
      </c>
      <c r="I7" s="14" t="s">
        <v>397</v>
      </c>
      <c r="J7" s="14" t="s">
        <v>398</v>
      </c>
      <c r="K7" s="159" t="s">
        <v>399</v>
      </c>
      <c r="L7" s="113"/>
    </row>
    <row r="8" spans="1:12" ht="165" x14ac:dyDescent="0.25">
      <c r="A8" s="1" t="s">
        <v>386</v>
      </c>
      <c r="B8" s="14" t="s">
        <v>403</v>
      </c>
      <c r="C8" s="14" t="s">
        <v>394</v>
      </c>
      <c r="D8" s="14" t="s">
        <v>213</v>
      </c>
      <c r="E8" s="14" t="s">
        <v>222</v>
      </c>
      <c r="F8" s="14" t="s">
        <v>404</v>
      </c>
      <c r="G8" s="158" t="s">
        <v>405</v>
      </c>
      <c r="H8" s="163">
        <v>210</v>
      </c>
      <c r="I8" s="14" t="s">
        <v>397</v>
      </c>
      <c r="J8" s="14" t="s">
        <v>406</v>
      </c>
      <c r="K8" s="162" t="s">
        <v>417</v>
      </c>
      <c r="L8" s="113"/>
    </row>
    <row r="9" spans="1:12" ht="165.75" thickBot="1" x14ac:dyDescent="0.3">
      <c r="A9" s="1" t="s">
        <v>407</v>
      </c>
      <c r="B9" s="14" t="s">
        <v>408</v>
      </c>
      <c r="C9" s="14" t="s">
        <v>394</v>
      </c>
      <c r="D9" s="14" t="s">
        <v>213</v>
      </c>
      <c r="E9" s="14" t="s">
        <v>222</v>
      </c>
      <c r="F9" s="14" t="s">
        <v>409</v>
      </c>
      <c r="G9" s="14" t="s">
        <v>410</v>
      </c>
      <c r="H9" s="164">
        <v>1710</v>
      </c>
      <c r="I9" s="14" t="s">
        <v>397</v>
      </c>
      <c r="J9" s="14" t="s">
        <v>406</v>
      </c>
      <c r="K9" s="159" t="s">
        <v>399</v>
      </c>
      <c r="L9" s="113"/>
    </row>
    <row r="10" spans="1:12" ht="165.75" thickBot="1" x14ac:dyDescent="0.3">
      <c r="A10" s="100" t="s">
        <v>418</v>
      </c>
      <c r="B10" s="14" t="s">
        <v>412</v>
      </c>
      <c r="C10" s="14" t="s">
        <v>394</v>
      </c>
      <c r="D10" s="14" t="s">
        <v>213</v>
      </c>
      <c r="E10" s="14" t="s">
        <v>222</v>
      </c>
      <c r="F10" s="157"/>
      <c r="G10" s="158"/>
      <c r="H10" s="11">
        <v>0</v>
      </c>
      <c r="I10" s="14" t="s">
        <v>397</v>
      </c>
      <c r="J10" s="14" t="s">
        <v>406</v>
      </c>
      <c r="K10" s="159" t="s">
        <v>399</v>
      </c>
      <c r="L10" s="113"/>
    </row>
    <row r="11" spans="1:12" ht="165" x14ac:dyDescent="0.25">
      <c r="A11" s="100" t="s">
        <v>419</v>
      </c>
      <c r="B11" s="14" t="s">
        <v>413</v>
      </c>
      <c r="C11" s="14" t="s">
        <v>394</v>
      </c>
      <c r="D11" s="14" t="s">
        <v>213</v>
      </c>
      <c r="E11" s="14" t="s">
        <v>222</v>
      </c>
      <c r="G11" s="158"/>
      <c r="H11" s="161">
        <v>14800</v>
      </c>
      <c r="I11" s="14" t="s">
        <v>397</v>
      </c>
      <c r="J11" s="14" t="s">
        <v>406</v>
      </c>
      <c r="K11" s="159" t="s">
        <v>399</v>
      </c>
      <c r="L11" s="113"/>
    </row>
    <row r="12" spans="1:12" ht="15.75" x14ac:dyDescent="0.25">
      <c r="A12" s="1"/>
      <c r="G12" s="158"/>
      <c r="H12" s="11"/>
      <c r="K12" s="159"/>
      <c r="L12" s="113"/>
    </row>
    <row r="13" spans="1:12" ht="15.75" x14ac:dyDescent="0.25">
      <c r="A13" s="57"/>
      <c r="G13" s="158"/>
      <c r="H13" s="11"/>
      <c r="K13" s="159"/>
      <c r="L13" s="113"/>
    </row>
    <row r="14" spans="1:12" ht="16.5" thickBot="1" x14ac:dyDescent="0.3">
      <c r="A14" s="1"/>
      <c r="H14" s="37"/>
      <c r="K14" s="159"/>
      <c r="L14" s="113"/>
    </row>
    <row r="15" spans="1:12" ht="16.5" thickBot="1" x14ac:dyDescent="0.3">
      <c r="A15" s="1"/>
      <c r="F15" s="157"/>
      <c r="G15" s="158"/>
      <c r="H15" s="11"/>
      <c r="K15" s="159"/>
      <c r="L15" s="113"/>
    </row>
    <row r="16" spans="1:12" ht="15.75" x14ac:dyDescent="0.25">
      <c r="A16" s="1"/>
      <c r="G16" s="158"/>
      <c r="H16" s="11"/>
      <c r="K16" s="159"/>
      <c r="L16" s="113"/>
    </row>
    <row r="17" spans="1:12" ht="15.75" x14ac:dyDescent="0.25">
      <c r="A17" s="1"/>
      <c r="G17" s="158"/>
      <c r="H17" s="11"/>
      <c r="K17" s="159"/>
      <c r="L17" s="113"/>
    </row>
    <row r="18" spans="1:12" ht="15.75" x14ac:dyDescent="0.25">
      <c r="A18" s="57"/>
      <c r="G18" s="158"/>
      <c r="H18" s="11"/>
      <c r="K18" s="159"/>
      <c r="L18" s="113"/>
    </row>
    <row r="19" spans="1:12" ht="15.75" x14ac:dyDescent="0.25">
      <c r="A19" s="1"/>
      <c r="H19" s="37"/>
      <c r="K19" s="159"/>
      <c r="L19" s="113"/>
    </row>
    <row r="20" spans="1:12" x14ac:dyDescent="0.25"/>
    <row r="21" spans="1:12" x14ac:dyDescent="0.25"/>
    <row r="22" spans="1:12" x14ac:dyDescent="0.25"/>
    <row r="23" spans="1:12" x14ac:dyDescent="0.25"/>
    <row r="24" spans="1:12" x14ac:dyDescent="0.25"/>
    <row r="25" spans="1:12" x14ac:dyDescent="0.25"/>
    <row r="26" spans="1:12" x14ac:dyDescent="0.25"/>
    <row r="27" spans="1:12" x14ac:dyDescent="0.25"/>
    <row r="28" spans="1:12" x14ac:dyDescent="0.25"/>
    <row r="29" spans="1:12" x14ac:dyDescent="0.25"/>
    <row r="30" spans="1:12" x14ac:dyDescent="0.25"/>
    <row r="31" spans="1:12" x14ac:dyDescent="0.25"/>
    <row r="32" spans="1:12" x14ac:dyDescent="0.25"/>
    <row r="33" spans="2:5" x14ac:dyDescent="0.25"/>
    <row r="34" spans="2:5" x14ac:dyDescent="0.25"/>
    <row r="35" spans="2:5" x14ac:dyDescent="0.25"/>
    <row r="36" spans="2:5" x14ac:dyDescent="0.25"/>
    <row r="37" spans="2:5" x14ac:dyDescent="0.25"/>
    <row r="38" spans="2:5" x14ac:dyDescent="0.25"/>
    <row r="39" spans="2:5" x14ac:dyDescent="0.25"/>
    <row r="40" spans="2:5" x14ac:dyDescent="0.25"/>
    <row r="41" spans="2:5" x14ac:dyDescent="0.25"/>
    <row r="42" spans="2:5" x14ac:dyDescent="0.25"/>
    <row r="43" spans="2:5" x14ac:dyDescent="0.25"/>
    <row r="44" spans="2:5" x14ac:dyDescent="0.25"/>
    <row r="45" spans="2:5" x14ac:dyDescent="0.25"/>
    <row r="46" spans="2:5" x14ac:dyDescent="0.25"/>
    <row r="47" spans="2:5" x14ac:dyDescent="0.25"/>
    <row r="48" spans="2:5" x14ac:dyDescent="0.25"/>
    <row r="49" spans="2:5" x14ac:dyDescent="0.25"/>
    <row r="50" spans="2:5" x14ac:dyDescent="0.25"/>
    <row r="51" spans="2:5" x14ac:dyDescent="0.25"/>
    <row r="52" spans="2:5" x14ac:dyDescent="0.25"/>
    <row r="53" spans="2:5" x14ac:dyDescent="0.25"/>
    <row r="54" spans="2:5" x14ac:dyDescent="0.25"/>
    <row r="55" spans="2:5" x14ac:dyDescent="0.25"/>
    <row r="56" spans="2:5" x14ac:dyDescent="0.25"/>
    <row r="57" spans="2:5" x14ac:dyDescent="0.25"/>
    <row r="58" spans="2:5" x14ac:dyDescent="0.25"/>
    <row r="59" spans="2:5" x14ac:dyDescent="0.25"/>
    <row r="60" spans="2:5" x14ac:dyDescent="0.25"/>
    <row r="61" spans="2:5" x14ac:dyDescent="0.25"/>
    <row r="62" spans="2:5" x14ac:dyDescent="0.25"/>
    <row r="63" spans="2:5" x14ac:dyDescent="0.25"/>
    <row r="64" spans="2:5" x14ac:dyDescent="0.25"/>
    <row r="65" spans="2:5" x14ac:dyDescent="0.25"/>
    <row r="66" spans="2:5" x14ac:dyDescent="0.25"/>
    <row r="67" spans="2:5" x14ac:dyDescent="0.25"/>
    <row r="68" spans="2:5" x14ac:dyDescent="0.25"/>
    <row r="69" spans="2:5" x14ac:dyDescent="0.25"/>
    <row r="70" spans="2:5" x14ac:dyDescent="0.25"/>
    <row r="71" spans="2:5" x14ac:dyDescent="0.25"/>
    <row r="72" spans="2:5" x14ac:dyDescent="0.25"/>
    <row r="73" spans="2:5" x14ac:dyDescent="0.25"/>
    <row r="74" spans="2:5" x14ac:dyDescent="0.25"/>
    <row r="75" spans="2:5" x14ac:dyDescent="0.25"/>
    <row r="76" spans="2:5" x14ac:dyDescent="0.25"/>
    <row r="77" spans="2:5" x14ac:dyDescent="0.25"/>
    <row r="78" spans="2:5" x14ac:dyDescent="0.25"/>
    <row r="79" spans="2:5" x14ac:dyDescent="0.25"/>
    <row r="80" spans="2:5" x14ac:dyDescent="0.25"/>
    <row r="81" spans="1:11" x14ac:dyDescent="0.25"/>
    <row r="82" spans="1:11" x14ac:dyDescent="0.2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</row>
    <row r="84" spans="1:11" ht="21" x14ac:dyDescent="0.25">
      <c r="A84" s="195" t="s">
        <v>273</v>
      </c>
      <c r="B84" s="195"/>
      <c r="C84" s="195"/>
      <c r="D84" s="195"/>
      <c r="E84" s="195"/>
      <c r="F84" s="195"/>
      <c r="G84" s="195"/>
      <c r="H84" s="195"/>
      <c r="I84" s="195"/>
    </row>
    <row r="85" spans="1:11" ht="21" x14ac:dyDescent="0.25">
      <c r="A85" s="29"/>
    </row>
  </sheetData>
  <mergeCells count="3">
    <mergeCell ref="A2:K2"/>
    <mergeCell ref="A84:I84"/>
    <mergeCell ref="K5:L5"/>
  </mergeCells>
  <phoneticPr fontId="21" type="noConversion"/>
  <dataValidations count="1">
    <dataValidation type="list" allowBlank="1" showInputMessage="1" showErrorMessage="1" sqref="A20:A83" xr:uid="{00000000-0002-0000-0800-000000000000}">
      <formula1>$I$7:$I$167</formula1>
    </dataValidation>
  </dataValidations>
  <pageMargins left="0.7" right="0.7" top="0.75" bottom="0.75" header="0.3" footer="0.3"/>
  <pageSetup paperSize="9" scale="20" orientation="landscape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800-000001000000}">
          <x14:formula1>
            <xm:f>'Р 1. "Общие сведения"'!$I$7:$I$179</xm:f>
          </x14:formula1>
          <xm:sqref>A86:A1948</xm:sqref>
        </x14:dataValidation>
        <x14:dataValidation type="list" allowBlank="1" showInputMessage="1" showErrorMessage="1" xr:uid="{00000000-0002-0000-0800-000002000000}">
          <x14:formula1>
            <xm:f>Справочники!$F$38:$F$41</xm:f>
          </x14:formula1>
          <xm:sqref>D20:D82</xm:sqref>
        </x14:dataValidation>
        <x14:dataValidation type="list" allowBlank="1" showInputMessage="1" showErrorMessage="1" xr:uid="{00000000-0002-0000-0800-000003000000}">
          <x14:formula1>
            <xm:f>Справочники!$E$50:$E$53</xm:f>
          </x14:formula1>
          <xm:sqref>E20:E82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</vt:i4>
      </vt:variant>
    </vt:vector>
  </HeadingPairs>
  <TitlesOfParts>
    <vt:vector size="13" baseType="lpstr">
      <vt:lpstr>Инструкция по заполнению форм</vt:lpstr>
      <vt:lpstr>Лист2</vt:lpstr>
      <vt:lpstr>План инф-ции (титул)</vt:lpstr>
      <vt:lpstr>Р 1. "Общие сведения"</vt:lpstr>
      <vt:lpstr>Р 2. "Госуслуги(функции)</vt:lpstr>
      <vt:lpstr>Р 3. Документы</vt:lpstr>
      <vt:lpstr>Р 4. Показатели_индикаторы</vt:lpstr>
      <vt:lpstr>Р 5. Финансирование</vt:lpstr>
      <vt:lpstr>Р 6. Закупки</vt:lpstr>
      <vt:lpstr>Р 7. Оценка УО</vt:lpstr>
      <vt:lpstr>Справочники</vt:lpstr>
      <vt:lpstr>'Инструкция по заполнению форм'!sub_11400</vt:lpstr>
      <vt:lpstr>'Инструкция по заполнению форм'!sub_11600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PC7</cp:lastModifiedBy>
  <cp:lastPrinted>2022-07-13T06:49:16Z</cp:lastPrinted>
  <dcterms:created xsi:type="dcterms:W3CDTF">2017-05-04T05:41:28Z</dcterms:created>
  <dcterms:modified xsi:type="dcterms:W3CDTF">2023-02-13T11:10:27Z</dcterms:modified>
</cp:coreProperties>
</file>